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FINANZAS\2023\INFORMES FINANCIEROS\INFORME DE CUENTAS POR PAGAR\CUENTAS POR PAGAR EXCEL\"/>
    </mc:Choice>
  </mc:AlternateContent>
  <bookViews>
    <workbookView xWindow="0" yWindow="0" windowWidth="19200" windowHeight="11595"/>
  </bookViews>
  <sheets>
    <sheet name="DEUDA" sheetId="7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6" i="7" l="1"/>
  <c r="M135" i="7"/>
  <c r="M186" i="7" l="1"/>
  <c r="M163" i="7"/>
  <c r="M177" i="7" l="1"/>
  <c r="M40" i="7"/>
  <c r="J106" i="7"/>
  <c r="J108" i="7"/>
  <c r="L81" i="7" l="1"/>
  <c r="L19" i="7" l="1"/>
  <c r="L38" i="7" l="1"/>
  <c r="K166" i="7" l="1"/>
  <c r="M38" i="7"/>
  <c r="L141" i="7"/>
  <c r="L16" i="7"/>
  <c r="M16" i="7" s="1"/>
  <c r="K187" i="7"/>
  <c r="M112" i="7"/>
  <c r="L183" i="7"/>
  <c r="L107" i="7"/>
  <c r="L45" i="7"/>
  <c r="M147" i="7" l="1"/>
  <c r="M11" i="7"/>
  <c r="L108" i="7"/>
  <c r="M108" i="7" s="1"/>
  <c r="K108" i="7"/>
  <c r="M187" i="7" l="1"/>
  <c r="M185" i="7" l="1"/>
  <c r="K183" i="7"/>
  <c r="M15" i="7" l="1"/>
  <c r="K114" i="7"/>
  <c r="M191" i="7"/>
  <c r="M192" i="7"/>
  <c r="M20" i="7"/>
  <c r="M57" i="7"/>
  <c r="K37" i="7"/>
  <c r="K154" i="7"/>
  <c r="M120" i="7"/>
  <c r="K45" i="7"/>
  <c r="K141" i="7"/>
  <c r="L194" i="7" l="1"/>
  <c r="K81" i="7"/>
  <c r="J81" i="7"/>
  <c r="M8" i="7"/>
  <c r="J68" i="7" l="1"/>
  <c r="M50" i="7"/>
  <c r="M10" i="7"/>
  <c r="M136" i="7" l="1"/>
  <c r="M42" i="7"/>
  <c r="M188" i="7"/>
  <c r="M44" i="7"/>
  <c r="K78" i="7"/>
  <c r="K106" i="7"/>
  <c r="M154" i="7"/>
  <c r="J37" i="7" l="1"/>
  <c r="K67" i="7"/>
  <c r="M67" i="7" s="1"/>
  <c r="M122" i="7"/>
  <c r="K128" i="7"/>
  <c r="M128" i="7" s="1"/>
  <c r="K139" i="7"/>
  <c r="M139" i="7" s="1"/>
  <c r="K19" i="7"/>
  <c r="M19" i="7" s="1"/>
  <c r="I81" i="7"/>
  <c r="J45" i="7" l="1"/>
  <c r="M45" i="7" s="1"/>
  <c r="M189" i="7" l="1"/>
  <c r="G114" i="7" l="1"/>
  <c r="M162" i="7" l="1"/>
  <c r="J23" i="7"/>
  <c r="J113" i="7"/>
  <c r="M176" i="7"/>
  <c r="J114" i="7" l="1"/>
  <c r="J141" i="7" l="1"/>
  <c r="J183" i="7"/>
  <c r="M106" i="7"/>
  <c r="J59" i="7"/>
  <c r="K194" i="7" l="1"/>
  <c r="M58" i="7"/>
  <c r="J78" i="7"/>
  <c r="M78" i="7" s="1"/>
  <c r="J145" i="7"/>
  <c r="M145" i="7" s="1"/>
  <c r="M144" i="7"/>
  <c r="M92" i="7"/>
  <c r="J14" i="7"/>
  <c r="M180" i="7" l="1"/>
  <c r="H184" i="7" l="1"/>
  <c r="M184" i="7" s="1"/>
  <c r="H183" i="7" l="1"/>
  <c r="M183" i="7" s="1"/>
  <c r="M79" i="7" l="1"/>
  <c r="M65" i="7"/>
  <c r="M68" i="7"/>
  <c r="M161" i="7"/>
  <c r="J107" i="7"/>
  <c r="M166" i="7"/>
  <c r="I141" i="7"/>
  <c r="M141" i="7" s="1"/>
  <c r="I133" i="7"/>
  <c r="I114" i="7"/>
  <c r="I59" i="7"/>
  <c r="I37" i="7"/>
  <c r="M22" i="7"/>
  <c r="H164" i="7"/>
  <c r="H133" i="7"/>
  <c r="H114" i="7"/>
  <c r="H113" i="7"/>
  <c r="M113" i="7" s="1"/>
  <c r="H107" i="7"/>
  <c r="M107" i="7" s="1"/>
  <c r="H81" i="7"/>
  <c r="M81" i="7" s="1"/>
  <c r="H59" i="7"/>
  <c r="M59" i="7" s="1"/>
  <c r="H37" i="7"/>
  <c r="M37" i="7" s="1"/>
  <c r="M23" i="7"/>
  <c r="M14" i="7"/>
  <c r="M133" i="7" l="1"/>
  <c r="M114" i="7"/>
  <c r="M132" i="7"/>
  <c r="M134" i="7"/>
  <c r="M137" i="7"/>
  <c r="M138" i="7"/>
  <c r="M140" i="7"/>
  <c r="M142" i="7"/>
  <c r="M143" i="7"/>
  <c r="M146" i="7"/>
  <c r="M148" i="7"/>
  <c r="M149" i="7"/>
  <c r="M150" i="7"/>
  <c r="M151" i="7"/>
  <c r="M152" i="7"/>
  <c r="M153" i="7"/>
  <c r="M155" i="7"/>
  <c r="M156" i="7"/>
  <c r="M157" i="7"/>
  <c r="M158" i="7"/>
  <c r="M159" i="7"/>
  <c r="M160" i="7"/>
  <c r="M164" i="7"/>
  <c r="M165" i="7"/>
  <c r="M167" i="7"/>
  <c r="M168" i="7"/>
  <c r="M169" i="7"/>
  <c r="M170" i="7"/>
  <c r="M171" i="7"/>
  <c r="M172" i="7"/>
  <c r="M173" i="7"/>
  <c r="M174" i="7"/>
  <c r="M175" i="7"/>
  <c r="M178" i="7"/>
  <c r="M179" i="7"/>
  <c r="M181" i="7"/>
  <c r="M182" i="7"/>
  <c r="M48" i="7"/>
  <c r="M49" i="7"/>
  <c r="M51" i="7"/>
  <c r="M52" i="7"/>
  <c r="M53" i="7"/>
  <c r="M54" i="7"/>
  <c r="M56" i="7"/>
  <c r="M60" i="7"/>
  <c r="M61" i="7"/>
  <c r="M62" i="7"/>
  <c r="M63" i="7"/>
  <c r="M64" i="7"/>
  <c r="M66" i="7"/>
  <c r="M69" i="7"/>
  <c r="M70" i="7"/>
  <c r="M71" i="7"/>
  <c r="M72" i="7"/>
  <c r="M73" i="7"/>
  <c r="M74" i="7"/>
  <c r="M75" i="7"/>
  <c r="M76" i="7"/>
  <c r="M77" i="7"/>
  <c r="M80" i="7"/>
  <c r="M82" i="7"/>
  <c r="M83" i="7"/>
  <c r="M84" i="7"/>
  <c r="M85" i="7"/>
  <c r="M86" i="7"/>
  <c r="M87" i="7"/>
  <c r="M88" i="7"/>
  <c r="M89" i="7"/>
  <c r="M90" i="7"/>
  <c r="M91" i="7"/>
  <c r="M93" i="7"/>
  <c r="M94" i="7"/>
  <c r="M95" i="7"/>
  <c r="M96" i="7"/>
  <c r="M97" i="7"/>
  <c r="M98" i="7"/>
  <c r="M99" i="7"/>
  <c r="M100" i="7"/>
  <c r="M101" i="7"/>
  <c r="M102" i="7"/>
  <c r="M103" i="7"/>
  <c r="M104" i="7"/>
  <c r="M105" i="7"/>
  <c r="M109" i="7"/>
  <c r="M110" i="7"/>
  <c r="M111" i="7"/>
  <c r="M115" i="7"/>
  <c r="M116" i="7"/>
  <c r="M117" i="7"/>
  <c r="M118" i="7"/>
  <c r="M119" i="7"/>
  <c r="M121" i="7"/>
  <c r="M123" i="7"/>
  <c r="M124" i="7"/>
  <c r="M125" i="7"/>
  <c r="M126" i="7"/>
  <c r="M127" i="7"/>
  <c r="M27" i="7"/>
  <c r="M28" i="7"/>
  <c r="M29" i="7"/>
  <c r="M30" i="7"/>
  <c r="M31" i="7"/>
  <c r="M32" i="7"/>
  <c r="M33" i="7"/>
  <c r="M34" i="7"/>
  <c r="M35" i="7"/>
  <c r="M39" i="7"/>
  <c r="M41" i="7"/>
  <c r="M43" i="7"/>
  <c r="M46" i="7"/>
  <c r="F55" i="7" l="1"/>
  <c r="M55" i="7" s="1"/>
  <c r="E26" i="7"/>
  <c r="M26" i="7" l="1"/>
  <c r="E194" i="7"/>
  <c r="M9" i="7"/>
  <c r="I194" i="7" l="1"/>
  <c r="H194" i="7"/>
  <c r="G194" i="7"/>
  <c r="F194" i="7"/>
  <c r="M12" i="7" l="1"/>
  <c r="M13" i="7"/>
  <c r="M17" i="7"/>
  <c r="M18" i="7"/>
  <c r="M21" i="7"/>
  <c r="M47" i="7"/>
  <c r="M129" i="7"/>
  <c r="M130" i="7"/>
  <c r="M131" i="7"/>
  <c r="M190" i="7"/>
  <c r="M193" i="7"/>
  <c r="J194" i="7" l="1"/>
  <c r="M194" i="7" s="1"/>
</calcChain>
</file>

<file path=xl/sharedStrings.xml><?xml version="1.0" encoding="utf-8"?>
<sst xmlns="http://schemas.openxmlformats.org/spreadsheetml/2006/main" count="570" uniqueCount="313">
  <si>
    <t>NO</t>
  </si>
  <si>
    <t xml:space="preserve">DIRECCION DE FISCALIZACION Y CONTROL </t>
  </si>
  <si>
    <t xml:space="preserve">NOMBRES PROVEEDOR  </t>
  </si>
  <si>
    <t>FUENTE DE FINANCIAMIENTO</t>
  </si>
  <si>
    <t>MONTO AÑOS ANTERIORES</t>
  </si>
  <si>
    <t>MONTO AÑO 2021</t>
  </si>
  <si>
    <t>TOTAL ADEUDA</t>
  </si>
  <si>
    <t xml:space="preserve">TOTAL GENERAL </t>
  </si>
  <si>
    <t xml:space="preserve">CONCEPTO DE COMPRA ( BREVE DESCRIPCION ) </t>
  </si>
  <si>
    <t>MONTO AÑO 2022</t>
  </si>
  <si>
    <t>MONTO AL 28 FEBRERO 2023</t>
  </si>
  <si>
    <t>MONTO ENERO 2023</t>
  </si>
  <si>
    <t>24 SERVIC DOMINICANA</t>
  </si>
  <si>
    <t>AGRAMONTE AUTO PARTS</t>
  </si>
  <si>
    <t>AGRIPINA RAMIREZ</t>
  </si>
  <si>
    <t>ALEXIS MARTE RAMIREZ</t>
  </si>
  <si>
    <t>AF ALSEGA PHARMA</t>
  </si>
  <si>
    <t>AMASUR DEL CARIBE SRL</t>
  </si>
  <si>
    <t>ANEST</t>
  </si>
  <si>
    <t>ALFONSO DENTAL</t>
  </si>
  <si>
    <t>ARGOS TECNOQUIMICOS INDUSTRIAL</t>
  </si>
  <si>
    <t>ARTES ALVAREZ MENDEZ IMPRESO</t>
  </si>
  <si>
    <t xml:space="preserve">AY R COMERCIAL </t>
  </si>
  <si>
    <t>AY S IMPORTADORA MEDICA</t>
  </si>
  <si>
    <t>AYUNTAMIENTO AZUA</t>
  </si>
  <si>
    <t>BIENVENIDO CONTRERA</t>
  </si>
  <si>
    <t>BIO -NOVA</t>
  </si>
  <si>
    <t xml:space="preserve">BIO-NUCLEAR </t>
  </si>
  <si>
    <t>BLAXCOR MEDICAL</t>
  </si>
  <si>
    <t>CAR-M</t>
  </si>
  <si>
    <t>CENTRO POPULAR AZUANO</t>
  </si>
  <si>
    <t>CEREBRO DESINGS</t>
  </si>
  <si>
    <t xml:space="preserve">COMERCIAL PEÑA GARCIA </t>
  </si>
  <si>
    <t>COMFASA ,EIRL</t>
  </si>
  <si>
    <t>CRAL FARMACEUTICA</t>
  </si>
  <si>
    <t>CRISTALIA</t>
  </si>
  <si>
    <t>CRISTIAN DANIEL PEREZ</t>
  </si>
  <si>
    <t>CRISTINA ELECTRODOMESTICO</t>
  </si>
  <si>
    <t>CYBERRAN SRL</t>
  </si>
  <si>
    <t>CRUZ AYALA, SRL</t>
  </si>
  <si>
    <t>CEM CARIBBEAN</t>
  </si>
  <si>
    <t>COPEM HOSPICLINIC</t>
  </si>
  <si>
    <t>COMERCIAL WILSON</t>
  </si>
  <si>
    <t>COLEGIO MEDICO DOMINICANO</t>
  </si>
  <si>
    <t>PRODUCTOS CHEF, S.A</t>
  </si>
  <si>
    <t>DAYCA, SRL</t>
  </si>
  <si>
    <t>DE LEON Y ASOCIADOS,SRL</t>
  </si>
  <si>
    <t>DIAFARMED EIRL</t>
  </si>
  <si>
    <t>DIAMELAD</t>
  </si>
  <si>
    <t>DINAMED,SRL</t>
  </si>
  <si>
    <t>DISTOSA</t>
  </si>
  <si>
    <t>DISTRIBUIDORA LENDOIRO</t>
  </si>
  <si>
    <t xml:space="preserve">DISTRIBUIDORA SAN MIGUEL </t>
  </si>
  <si>
    <t>DISTRIBUIDORA UNIVERSAL</t>
  </si>
  <si>
    <t>DISTRIBUIDORA DE ALIMENTOS,RL</t>
  </si>
  <si>
    <t>DELICIAS</t>
  </si>
  <si>
    <t>EDITORA CS, SRL</t>
  </si>
  <si>
    <t>EQUIMECORO</t>
  </si>
  <si>
    <t>ESODIHSA</t>
  </si>
  <si>
    <t>ESTACION DE COMBUSTIBLE MAMBO</t>
  </si>
  <si>
    <t>ELECTROSUR</t>
  </si>
  <si>
    <t xml:space="preserve">EPX </t>
  </si>
  <si>
    <t xml:space="preserve">EL PIROS PHAMACEUTICA SRL </t>
  </si>
  <si>
    <t>FARMACIA RAMIREZ</t>
  </si>
  <si>
    <t>FARMARCA</t>
  </si>
  <si>
    <t>FARNASA</t>
  </si>
  <si>
    <t>FERNANDO A.BONILLA</t>
  </si>
  <si>
    <t>FERRETERIA COMPOSTELA</t>
  </si>
  <si>
    <t>FINA VEGETAL</t>
  </si>
  <si>
    <t>FIRST MEDICAL</t>
  </si>
  <si>
    <t>FLORISTERIA KEIXI</t>
  </si>
  <si>
    <t>FARACH,S.A.</t>
  </si>
  <si>
    <t xml:space="preserve">FERRESOLUCIONES </t>
  </si>
  <si>
    <t>GALAXIS DENTAL</t>
  </si>
  <si>
    <t>GLOBAL MULTI-PHARMA</t>
  </si>
  <si>
    <t>GLOBAL SERVICE</t>
  </si>
  <si>
    <t>GILBERT JOSE GONZALEZ</t>
  </si>
  <si>
    <t>GRUPO FILIA</t>
  </si>
  <si>
    <t>GZ HEALTH</t>
  </si>
  <si>
    <t>GAMMA TECH</t>
  </si>
  <si>
    <t>GASES DEL SUR</t>
  </si>
  <si>
    <t>HEMOTEST</t>
  </si>
  <si>
    <t>HIDROMED</t>
  </si>
  <si>
    <t>HEXAPOWER PHARMA</t>
  </si>
  <si>
    <t>HOSPILAB, SRL</t>
  </si>
  <si>
    <t>HIELO Y AGUA BUENA</t>
  </si>
  <si>
    <t>HOSPIRED, SRL</t>
  </si>
  <si>
    <t>IMÁGENES Y MATERIAL RAD</t>
  </si>
  <si>
    <t>IMPREICA,SRL</t>
  </si>
  <si>
    <t>IMPRENTA Y MULTISERVICIOS</t>
  </si>
  <si>
    <t>INDUVECA</t>
  </si>
  <si>
    <t>INKDOM</t>
  </si>
  <si>
    <t>INOFAR, SRL</t>
  </si>
  <si>
    <t>INVERCIONES PALAU ,S.A,</t>
  </si>
  <si>
    <t>INNOVAMED</t>
  </si>
  <si>
    <t xml:space="preserve">INVERCIONES CABRAL MORA </t>
  </si>
  <si>
    <t>IMPRESORA KR,SRL</t>
  </si>
  <si>
    <t>JENRRY SENCION</t>
  </si>
  <si>
    <t>JONATHAN ROSSO MEJIA</t>
  </si>
  <si>
    <t>JOSE REYES INSTALACION</t>
  </si>
  <si>
    <t>JUÑAÑO</t>
  </si>
  <si>
    <t>JOCACE</t>
  </si>
  <si>
    <t>JM GUNDIN &amp; ASOCIADOS ,S.R.L.</t>
  </si>
  <si>
    <t>JOSE AUGUSTO SORIANO</t>
  </si>
  <si>
    <t>KEMEL COMERCIAL</t>
  </si>
  <si>
    <t>LABORATORIO BIO-MEDICA</t>
  </si>
  <si>
    <t>LABORATORIO ORBIS, SA</t>
  </si>
  <si>
    <t>LABORATORIO DE ANALISIS CLINICOS TSI</t>
  </si>
  <si>
    <t>LABORATORIO SINTESIS, SRL</t>
  </si>
  <si>
    <t>LAMBDA DIAGNOSTICO</t>
  </si>
  <si>
    <t>LEROMED PHARMA</t>
  </si>
  <si>
    <t>LETERAGO,SRL</t>
  </si>
  <si>
    <t>LINDE GAS DOMINICANA</t>
  </si>
  <si>
    <t>LOVANT FARMACEUTICA,SRL</t>
  </si>
  <si>
    <t>LUCIMED FARMACEUTICA SRL.</t>
  </si>
  <si>
    <t>LUZ E. BATISTA PEREZ(FERNANDO BONILLA)</t>
  </si>
  <si>
    <t>LUIS ANGEL BELTRE</t>
  </si>
  <si>
    <t>MARCHENA COLON</t>
  </si>
  <si>
    <t>MAURICIO MENDEZ</t>
  </si>
  <si>
    <t>MEDICAL TECNOLOGUIES</t>
  </si>
  <si>
    <t>MEDIPROME,SRL</t>
  </si>
  <si>
    <t>MEDISOL</t>
  </si>
  <si>
    <t>MEDOXIGAS</t>
  </si>
  <si>
    <t>MIRTHA CUEVA</t>
  </si>
  <si>
    <t>MORAMI</t>
  </si>
  <si>
    <t>MULTI IMPRESOS OHPE</t>
  </si>
  <si>
    <t>NIFARMED, SRL</t>
  </si>
  <si>
    <t>M.Q.J SUPLIDORES DE MATERIALES Y SERVICIOS</t>
  </si>
  <si>
    <t>OGIM,SRL</t>
  </si>
  <si>
    <t>OSCAR A. RENTA NEGRON</t>
  </si>
  <si>
    <t>OSCAR ANTONIO EQUIPO PARA RX</t>
  </si>
  <si>
    <t>PAPELERIA E IMPRESOS CRISHOAN</t>
  </si>
  <si>
    <t>PHARMA TECH</t>
  </si>
  <si>
    <t>POCHEFARMAX</t>
  </si>
  <si>
    <t xml:space="preserve">POLLERA POPULAR </t>
  </si>
  <si>
    <t>PROLAFAI,SRL</t>
  </si>
  <si>
    <t>PRO PHARMACEUTICAL PEÑA</t>
  </si>
  <si>
    <t>PAPATERRA MONTOLIO</t>
  </si>
  <si>
    <t>PROMEDCA</t>
  </si>
  <si>
    <t>PROQUIA</t>
  </si>
  <si>
    <t>QUINTIN MORILLO</t>
  </si>
  <si>
    <t>R&amp;R MEDIC /CRISTINA ROSARIO</t>
  </si>
  <si>
    <t>RALANSA</t>
  </si>
  <si>
    <t>RAMISOL</t>
  </si>
  <si>
    <t>ROFASA FARMA</t>
  </si>
  <si>
    <t>ROSANNA DELGADO</t>
  </si>
  <si>
    <t>RV RHARMACEUTICALS</t>
  </si>
  <si>
    <t xml:space="preserve">RAMIREZ Y MOJICA </t>
  </si>
  <si>
    <t>SEAN DOMINICANA,SRL</t>
  </si>
  <si>
    <t>SERVICIOS  ELECTRICOS JHIRE</t>
  </si>
  <si>
    <t>SERVICIOS INFORMATICOS AZUANOS</t>
  </si>
  <si>
    <t>SERVICIOS HOSPITALARIOS</t>
  </si>
  <si>
    <t>SILVER PHARMA, SRL</t>
  </si>
  <si>
    <t xml:space="preserve">SUPLIMED    </t>
  </si>
  <si>
    <t>SINOPHARMA</t>
  </si>
  <si>
    <t>SUED Y FARGESA</t>
  </si>
  <si>
    <t>SUPER MERCADO J Y M</t>
  </si>
  <si>
    <t>SUIPHAR DOMINICANA ,S.R.L.</t>
  </si>
  <si>
    <t>SETEC, SERVICIOS E INST.TECNICAS ,S.RL</t>
  </si>
  <si>
    <t xml:space="preserve">TALLER GERMANIA </t>
  </si>
  <si>
    <t>TALLER IND EVARISTO</t>
  </si>
  <si>
    <t>TAPICERIA BRITO</t>
  </si>
  <si>
    <t>TERNURA FM</t>
  </si>
  <si>
    <t>TOMAS MONTERO</t>
  </si>
  <si>
    <t>TELELITE</t>
  </si>
  <si>
    <t xml:space="preserve">UNIQUE PRESENTACIONES </t>
  </si>
  <si>
    <t>VAL-KAMED</t>
  </si>
  <si>
    <t>VENDIFAR</t>
  </si>
  <si>
    <t>VIMEPHAR, SRL</t>
  </si>
  <si>
    <t>WIMEZA ELECTRONICS</t>
  </si>
  <si>
    <t>YOJANCI A. NOVA ROSO</t>
  </si>
  <si>
    <t>YNCAR DELICATESSE &amp; BUFFET</t>
  </si>
  <si>
    <t>PRODUCTOS MEDICINALES</t>
  </si>
  <si>
    <t>ROBINSON CONCEPCION</t>
  </si>
  <si>
    <t>R&amp;P PROVISOLUCIONES, SRL</t>
  </si>
  <si>
    <t>EL MESON SUIZO</t>
  </si>
  <si>
    <t>FEC BIOMEDICAL</t>
  </si>
  <si>
    <t>EL PRIMO COMERCIAL</t>
  </si>
  <si>
    <t>ANGELA DE LOS SANTOS</t>
  </si>
  <si>
    <t>SERVIC SALUD</t>
  </si>
  <si>
    <t>TROPIGAS</t>
  </si>
  <si>
    <t>ZOEC CIVIL</t>
  </si>
  <si>
    <t>ESEMUC, SRL</t>
  </si>
  <si>
    <t>GONZMEL</t>
  </si>
  <si>
    <t>CIRCUIMED</t>
  </si>
  <si>
    <t xml:space="preserve">FORDSTAR </t>
  </si>
  <si>
    <t>DASSA PHARMACEUTICAL ,S.A</t>
  </si>
  <si>
    <t>ACTUALIDADES HOMER CENTER</t>
  </si>
  <si>
    <t>TAPICENTRO A&amp;A SRL</t>
  </si>
  <si>
    <t>GERENFAR,S..R,L.</t>
  </si>
  <si>
    <t>SOLUCIONES ELECTROPOWER ,S.R.L.</t>
  </si>
  <si>
    <t>CANO FOTOGRAFIA</t>
  </si>
  <si>
    <t>FUMIGACION</t>
  </si>
  <si>
    <t>REPUESTOS</t>
  </si>
  <si>
    <t>LECHE DE VACA</t>
  </si>
  <si>
    <t>ALIMENTOS</t>
  </si>
  <si>
    <t>MATERIAL MEDICO QUIRURGICO</t>
  </si>
  <si>
    <t>SUMINISTRO DE MEDICAMENTOS</t>
  </si>
  <si>
    <t>MEDICAMENTOS</t>
  </si>
  <si>
    <t>MATERIALES DE ODONTOLOGIA</t>
  </si>
  <si>
    <t>SUMINISTRO MAT. DE LIMPIEZA</t>
  </si>
  <si>
    <t>MATERIAL DE OFICINA</t>
  </si>
  <si>
    <t>SUMINISTRO DE ALIMENTOS</t>
  </si>
  <si>
    <t>RECOGIDA DE DESECHOS SOLIDOS</t>
  </si>
  <si>
    <t>VIVERES</t>
  </si>
  <si>
    <t>REACTIVOS LABORATORIO</t>
  </si>
  <si>
    <t>REACTIVO DE LABORATORIO</t>
  </si>
  <si>
    <t>MATERIALES MEDICO</t>
  </si>
  <si>
    <t>PAPEL DE ELECTRO</t>
  </si>
  <si>
    <t>ANESTESICOS</t>
  </si>
  <si>
    <t>PUBLICIDAD</t>
  </si>
  <si>
    <t>ELECTRODOMESTICO</t>
  </si>
  <si>
    <t>REACTIVOS</t>
  </si>
  <si>
    <t>SEP DE LARINGOSCOPIOS</t>
  </si>
  <si>
    <t>ALQUILER DE SALON PARA CENA</t>
  </si>
  <si>
    <t>EMBUSTIDO</t>
  </si>
  <si>
    <t>MASCARILLA PARA NEBULIZAR</t>
  </si>
  <si>
    <t>MAT. DE OFICINA</t>
  </si>
  <si>
    <t>MEDICAMENTOS/MMQ</t>
  </si>
  <si>
    <t>TONER</t>
  </si>
  <si>
    <t>MATERIAL GASTABLE</t>
  </si>
  <si>
    <t>MANT. DE FOTOCOPIADORA</t>
  </si>
  <si>
    <t xml:space="preserve">SERVICIOS DE BUFFET PARA 50 PERSONAS </t>
  </si>
  <si>
    <t>MATERIAL MEDICO</t>
  </si>
  <si>
    <t>MATERIAL RADIOLOGICO</t>
  </si>
  <si>
    <t>COMBUSTIBLE</t>
  </si>
  <si>
    <t>MATERIALES FERRETEROS</t>
  </si>
  <si>
    <t>LAVAMANOS QG.CON CUELLO DE GANZO</t>
  </si>
  <si>
    <t>MATERIAL DE LIMPIEZA</t>
  </si>
  <si>
    <t>MATERIAL FERRETERO</t>
  </si>
  <si>
    <t>VEGETALES</t>
  </si>
  <si>
    <t>REPARCION TOMOGRAFO/MAT.</t>
  </si>
  <si>
    <t>FLORES</t>
  </si>
  <si>
    <t>MATERIALES ODONTOLOGICOS</t>
  </si>
  <si>
    <t>MANT. DE AIRES</t>
  </si>
  <si>
    <t>MAT.MEDICO</t>
  </si>
  <si>
    <t>IMPRESORA INDUSTRIAL  MULTIFUNCIONAL</t>
  </si>
  <si>
    <t>OXIGENO</t>
  </si>
  <si>
    <t>MEDICAMENTO</t>
  </si>
  <si>
    <t xml:space="preserve">MICROSCOCOPIO DIGITAL </t>
  </si>
  <si>
    <t>SUMINISTRO DE AGUA</t>
  </si>
  <si>
    <t>REPUESTO AMB.</t>
  </si>
  <si>
    <t>MATERIAL DE INFORMATICA</t>
  </si>
  <si>
    <t>SERVICIO ARQUILER DE SONIDO</t>
  </si>
  <si>
    <t xml:space="preserve">EQUIPO TECNOLOGICOS </t>
  </si>
  <si>
    <t>SUMINISTRO DE MAT.PARA FARMACIA</t>
  </si>
  <si>
    <t>REPARACION EQUIPO</t>
  </si>
  <si>
    <t>MANTTO. AIRES ACON.</t>
  </si>
  <si>
    <t xml:space="preserve">ALMUERZO </t>
  </si>
  <si>
    <t>CAMBIO DE TUBERIA</t>
  </si>
  <si>
    <t>SERVICIO TECNICO</t>
  </si>
  <si>
    <t>SERVICIOS DE INSPECCION DE SALA QUIRURGICAS</t>
  </si>
  <si>
    <t>CARNE DE RES</t>
  </si>
  <si>
    <t>SUMISTRO DE MAT. GASTABLE</t>
  </si>
  <si>
    <t>VIVERE</t>
  </si>
  <si>
    <t>MANT. DE GASES ARTERIALES</t>
  </si>
  <si>
    <t>OXIGENO MEDICINAL</t>
  </si>
  <si>
    <t>EQUIPOS INFORMATICOS</t>
  </si>
  <si>
    <t>BATAS MEDICAS</t>
  </si>
  <si>
    <t xml:space="preserve">ACCUCHEK </t>
  </si>
  <si>
    <t>MATERIALES GASTABLES</t>
  </si>
  <si>
    <t>CARNE DE POLLO</t>
  </si>
  <si>
    <t>MAT,MEDICO GASTAB/MEDICAMENTOS</t>
  </si>
  <si>
    <t>SUMINISTRO DE MAT.DE LIMPIEZA</t>
  </si>
  <si>
    <t>MANTENIMIENTO DE ASCENSORES</t>
  </si>
  <si>
    <t>SERVICIO DE INFORMATICA</t>
  </si>
  <si>
    <t>MAT .FERRETERO</t>
  </si>
  <si>
    <t>PROVISIONES</t>
  </si>
  <si>
    <t>MAT.DE ELEVADORES</t>
  </si>
  <si>
    <t>MANTENIMIENTO EQUIPOS</t>
  </si>
  <si>
    <t>RANURAR Y SOLDAR</t>
  </si>
  <si>
    <t>COMPRA DE IMPRESORA</t>
  </si>
  <si>
    <t>PLACAS DE RAYOS X</t>
  </si>
  <si>
    <t>MATERIAL MEDICO/MEDICAMENTOS</t>
  </si>
  <si>
    <t>BUFFET</t>
  </si>
  <si>
    <t>SUMISTRO DE ALIMENTOS</t>
  </si>
  <si>
    <t>MAT.MEDICO QUIRURGICO</t>
  </si>
  <si>
    <t>SUMINISTRO DE PICADERAS</t>
  </si>
  <si>
    <t>SERVICIO DE MANTENIMIENTO SONOGRAFO</t>
  </si>
  <si>
    <t>ELECTRODOMESTICOS</t>
  </si>
  <si>
    <t>SUMINISTRO DE VIVERES/TRANSPORTE</t>
  </si>
  <si>
    <t>SUMINISTRO DE GAS</t>
  </si>
  <si>
    <t>MAT.MEDICO GASTABLES</t>
  </si>
  <si>
    <t>LAMPARA LED 2X2</t>
  </si>
  <si>
    <t>SERVICIO MAT AIRE ACONDICIONADO EMERG</t>
  </si>
  <si>
    <t>SUMINISTRO EQUIPO MEDICO</t>
  </si>
  <si>
    <t>NEBULIZADOR PULMO AIDE 5650D</t>
  </si>
  <si>
    <t>MEDICAMENTOS /MAT MEDICO QUIRURGICO</t>
  </si>
  <si>
    <t>COMPRA DE SILLAS</t>
  </si>
  <si>
    <t xml:space="preserve">COMPRA DE COLCHON </t>
  </si>
  <si>
    <t>REHABILITACION DE CIRCUITO ELECTRICO AIRE</t>
  </si>
  <si>
    <t>SUMINISTRO DE MAT.GASTABLES</t>
  </si>
  <si>
    <t>FONDO OPERATIVO</t>
  </si>
  <si>
    <t>VENTA DE SERVICIO</t>
  </si>
  <si>
    <t>MONTO AL 31 DE MARZO</t>
  </si>
  <si>
    <t xml:space="preserve">MORA BELTRE </t>
  </si>
  <si>
    <t xml:space="preserve"> </t>
  </si>
  <si>
    <t xml:space="preserve"> SUMINISTRO DE VIVERES</t>
  </si>
  <si>
    <t xml:space="preserve">    </t>
  </si>
  <si>
    <t xml:space="preserve">                                       APROBADO POR: </t>
  </si>
  <si>
    <t xml:space="preserve">                            </t>
  </si>
  <si>
    <t xml:space="preserve">                                                                                APROBADO POR:</t>
  </si>
  <si>
    <t>ROSA MARGARITA NUÑEZ</t>
  </si>
  <si>
    <t xml:space="preserve">REDACCION Y LEGALIZACION DE 115 CONTRATO S/ </t>
  </si>
  <si>
    <t xml:space="preserve">GUIVAL MEDICAL </t>
  </si>
  <si>
    <t xml:space="preserve">MAT MEDICO QUIRURGICO </t>
  </si>
  <si>
    <t xml:space="preserve">MASTER-CLEA </t>
  </si>
  <si>
    <t xml:space="preserve">           </t>
  </si>
  <si>
    <t>KRONGEL COMERCIAL,SRL</t>
  </si>
  <si>
    <t>COMPRA DE COLCHONES HOSPITALARIO</t>
  </si>
  <si>
    <r>
      <t xml:space="preserve">MES REPORTADO: </t>
    </r>
    <r>
      <rPr>
        <b/>
        <sz val="14"/>
        <color theme="1"/>
        <rFont val="Calibri"/>
        <family val="2"/>
        <scheme val="minor"/>
      </rPr>
      <t>Mayo   2023</t>
    </r>
  </si>
  <si>
    <r>
      <t xml:space="preserve"> ESTABLECIMIENTO: </t>
    </r>
    <r>
      <rPr>
        <b/>
        <u/>
        <sz val="11"/>
        <color theme="1"/>
        <rFont val="Calibri"/>
        <family val="2"/>
        <scheme val="minor"/>
      </rPr>
      <t xml:space="preserve">HOSPITAL REGIONAL TAIWAN 19 DE MARZO </t>
    </r>
  </si>
  <si>
    <t>COMPROMISO DE DEUDAS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</si>
</sst>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u/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2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1"/>
      <name val="Times New Roman"/>
      <family val="1"/>
    </font>
    <font>
      <b/>
      <sz val="20"/>
      <name val="Calibri"/>
      <family val="2"/>
      <scheme val="minor"/>
    </font>
    <font>
      <sz val="20"/>
      <name val="Calibri Light"/>
      <family val="1"/>
      <scheme val="major"/>
    </font>
    <font>
      <sz val="20"/>
      <color rgb="FFFF0000"/>
      <name val="Calibri"/>
      <family val="2"/>
      <scheme val="minor"/>
    </font>
    <font>
      <sz val="20"/>
      <name val="Times New Roman"/>
      <family val="1"/>
    </font>
    <font>
      <b/>
      <sz val="20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 tint="4.9989318521683403E-2"/>
      <name val="Calibri"/>
      <family val="2"/>
      <scheme val="minor"/>
    </font>
    <font>
      <b/>
      <sz val="20"/>
      <color theme="2" tint="-0.499984740745262"/>
      <name val="Arial"/>
      <family val="2"/>
    </font>
    <font>
      <b/>
      <sz val="20"/>
      <name val="Arial"/>
      <family val="2"/>
    </font>
    <font>
      <sz val="2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3" xfId="0" applyBorder="1"/>
    <xf numFmtId="0" fontId="2" fillId="2" borderId="2" xfId="0" applyFont="1" applyFill="1" applyBorder="1" applyAlignment="1">
      <alignment horizontal="center" wrapText="1"/>
    </xf>
    <xf numFmtId="0" fontId="8" fillId="0" borderId="0" xfId="0" applyFont="1"/>
    <xf numFmtId="0" fontId="9" fillId="0" borderId="0" xfId="0" applyFont="1"/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center"/>
    </xf>
    <xf numFmtId="0" fontId="7" fillId="0" borderId="0" xfId="0" applyFont="1"/>
    <xf numFmtId="17" fontId="2" fillId="2" borderId="2" xfId="0" applyNumberFormat="1" applyFont="1" applyFill="1" applyBorder="1" applyAlignment="1">
      <alignment horizontal="center" wrapText="1"/>
    </xf>
    <xf numFmtId="0" fontId="0" fillId="0" borderId="0" xfId="0" applyFont="1"/>
    <xf numFmtId="0" fontId="10" fillId="0" borderId="0" xfId="0" applyFont="1"/>
    <xf numFmtId="0" fontId="11" fillId="0" borderId="0" xfId="0" applyFont="1" applyAlignment="1">
      <alignment horizontal="center"/>
    </xf>
    <xf numFmtId="0" fontId="10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164" fontId="0" fillId="0" borderId="0" xfId="0" applyNumberFormat="1"/>
    <xf numFmtId="164" fontId="12" fillId="0" borderId="2" xfId="6" applyFont="1" applyFill="1" applyBorder="1" applyAlignment="1">
      <alignment horizontal="center"/>
    </xf>
    <xf numFmtId="164" fontId="13" fillId="0" borderId="2" xfId="6" applyFont="1" applyBorder="1" applyAlignment="1">
      <alignment horizontal="center"/>
    </xf>
    <xf numFmtId="164" fontId="12" fillId="3" borderId="2" xfId="6" applyFont="1" applyFill="1" applyBorder="1" applyAlignment="1">
      <alignment horizontal="right"/>
    </xf>
    <xf numFmtId="43" fontId="12" fillId="0" borderId="2" xfId="8" applyFont="1" applyFill="1" applyBorder="1" applyAlignment="1">
      <alignment horizontal="center"/>
    </xf>
    <xf numFmtId="4" fontId="14" fillId="0" borderId="2" xfId="0" applyNumberFormat="1" applyFont="1" applyBorder="1" applyAlignment="1">
      <alignment horizontal="center"/>
    </xf>
    <xf numFmtId="164" fontId="14" fillId="0" borderId="2" xfId="6" applyFont="1" applyBorder="1" applyAlignment="1">
      <alignment horizontal="center"/>
    </xf>
    <xf numFmtId="164" fontId="15" fillId="0" borderId="2" xfId="6" applyFont="1" applyFill="1" applyBorder="1" applyAlignment="1">
      <alignment horizontal="center"/>
    </xf>
    <xf numFmtId="164" fontId="13" fillId="0" borderId="2" xfId="6" applyFont="1" applyFill="1" applyBorder="1" applyAlignment="1">
      <alignment horizontal="center"/>
    </xf>
    <xf numFmtId="164" fontId="13" fillId="3" borderId="2" xfId="6" applyFont="1" applyFill="1" applyBorder="1" applyAlignment="1">
      <alignment horizontal="right"/>
    </xf>
    <xf numFmtId="43" fontId="16" fillId="0" borderId="2" xfId="8" applyFont="1" applyFill="1" applyBorder="1" applyAlignment="1">
      <alignment horizontal="center" vertical="center" wrapText="1"/>
    </xf>
    <xf numFmtId="164" fontId="17" fillId="0" borderId="2" xfId="6" applyFont="1" applyFill="1" applyBorder="1" applyAlignment="1">
      <alignment horizontal="center"/>
    </xf>
    <xf numFmtId="4" fontId="18" fillId="0" borderId="2" xfId="0" applyNumberFormat="1" applyFont="1" applyBorder="1" applyAlignment="1">
      <alignment horizontal="center"/>
    </xf>
    <xf numFmtId="4" fontId="18" fillId="0" borderId="1" xfId="0" applyNumberFormat="1" applyFont="1" applyBorder="1" applyAlignment="1">
      <alignment horizontal="center"/>
    </xf>
    <xf numFmtId="4" fontId="14" fillId="0" borderId="1" xfId="0" applyNumberFormat="1" applyFont="1" applyBorder="1" applyAlignment="1">
      <alignment horizontal="center"/>
    </xf>
    <xf numFmtId="164" fontId="12" fillId="0" borderId="1" xfId="6" applyFont="1" applyFill="1" applyBorder="1" applyAlignment="1">
      <alignment horizontal="center"/>
    </xf>
    <xf numFmtId="4" fontId="14" fillId="3" borderId="2" xfId="0" applyNumberFormat="1" applyFont="1" applyFill="1" applyBorder="1"/>
    <xf numFmtId="4" fontId="19" fillId="4" borderId="2" xfId="0" applyNumberFormat="1" applyFont="1" applyFill="1" applyBorder="1"/>
    <xf numFmtId="4" fontId="19" fillId="4" borderId="1" xfId="0" applyNumberFormat="1" applyFont="1" applyFill="1" applyBorder="1"/>
    <xf numFmtId="164" fontId="19" fillId="4" borderId="1" xfId="0" applyNumberFormat="1" applyFont="1" applyFill="1" applyBorder="1"/>
    <xf numFmtId="164" fontId="19" fillId="4" borderId="1" xfId="0" applyNumberFormat="1" applyFont="1" applyFill="1" applyBorder="1" applyAlignment="1">
      <alignment horizontal="right"/>
    </xf>
    <xf numFmtId="164" fontId="19" fillId="4" borderId="2" xfId="6" applyFont="1" applyFill="1" applyBorder="1" applyAlignment="1">
      <alignment horizontal="right"/>
    </xf>
    <xf numFmtId="0" fontId="20" fillId="0" borderId="0" xfId="0" applyFont="1" applyFill="1"/>
    <xf numFmtId="0" fontId="20" fillId="0" borderId="0" xfId="0" applyFont="1"/>
    <xf numFmtId="0" fontId="21" fillId="0" borderId="0" xfId="0" applyFont="1"/>
    <xf numFmtId="0" fontId="19" fillId="0" borderId="2" xfId="0" applyFont="1" applyBorder="1" applyAlignment="1">
      <alignment horizontal="center"/>
    </xf>
    <xf numFmtId="0" fontId="18" fillId="0" borderId="2" xfId="0" applyFont="1" applyBorder="1"/>
    <xf numFmtId="0" fontId="12" fillId="0" borderId="2" xfId="0" applyFont="1" applyBorder="1"/>
    <xf numFmtId="0" fontId="13" fillId="0" borderId="2" xfId="0" applyFont="1" applyBorder="1"/>
    <xf numFmtId="0" fontId="23" fillId="0" borderId="2" xfId="0" applyFont="1" applyBorder="1"/>
    <xf numFmtId="0" fontId="12" fillId="3" borderId="2" xfId="0" applyFont="1" applyFill="1" applyBorder="1"/>
    <xf numFmtId="0" fontId="14" fillId="0" borderId="2" xfId="0" applyFont="1" applyBorder="1"/>
    <xf numFmtId="0" fontId="12" fillId="0" borderId="2" xfId="0" applyFont="1" applyBorder="1" applyAlignment="1">
      <alignment wrapText="1"/>
    </xf>
    <xf numFmtId="0" fontId="12" fillId="0" borderId="5" xfId="0" applyFont="1" applyBorder="1"/>
    <xf numFmtId="0" fontId="24" fillId="0" borderId="2" xfId="7" applyFont="1" applyFill="1" applyBorder="1"/>
    <xf numFmtId="0" fontId="25" fillId="3" borderId="2" xfId="7" applyFont="1" applyFill="1" applyBorder="1"/>
    <xf numFmtId="0" fontId="26" fillId="3" borderId="5" xfId="7" applyFont="1" applyFill="1" applyBorder="1" applyAlignment="1">
      <alignment horizontal="left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19" fillId="4" borderId="4" xfId="0" applyFont="1" applyFill="1" applyBorder="1" applyAlignment="1">
      <alignment horizontal="center"/>
    </xf>
    <xf numFmtId="0" fontId="19" fillId="4" borderId="6" xfId="0" applyFont="1" applyFill="1" applyBorder="1" applyAlignment="1">
      <alignment horizont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</cellXfs>
  <cellStyles count="9">
    <cellStyle name="Millares" xfId="8" builtinId="3"/>
    <cellStyle name="Millares 2" xfId="3"/>
    <cellStyle name="Millares 2 2" xfId="6"/>
    <cellStyle name="Millares 3" xfId="5"/>
    <cellStyle name="Millares 9" xfId="2"/>
    <cellStyle name="Normal" xfId="0" builtinId="0"/>
    <cellStyle name="Normal 2" xfId="4"/>
    <cellStyle name="Normal 2 2" xfId="1"/>
    <cellStyle name="Normal 3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845343</xdr:colOff>
      <xdr:row>195</xdr:row>
      <xdr:rowOff>297656</xdr:rowOff>
    </xdr:from>
    <xdr:to>
      <xdr:col>9</xdr:col>
      <xdr:colOff>1388912</xdr:colOff>
      <xdr:row>211</xdr:row>
      <xdr:rowOff>32181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454562" y="63817500"/>
          <a:ext cx="4127350" cy="31397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06"/>
  <sheetViews>
    <sheetView tabSelected="1" topLeftCell="D1" zoomScale="80" zoomScaleNormal="80" workbookViewId="0">
      <selection activeCell="A4" sqref="A4"/>
    </sheetView>
  </sheetViews>
  <sheetFormatPr baseColWidth="10" defaultColWidth="11.42578125" defaultRowHeight="15" x14ac:dyDescent="0.25"/>
  <cols>
    <col min="1" max="1" width="6.85546875" customWidth="1"/>
    <col min="2" max="2" width="69.28515625" customWidth="1"/>
    <col min="3" max="3" width="58.28515625" customWidth="1"/>
    <col min="4" max="4" width="30.85546875" customWidth="1"/>
    <col min="5" max="5" width="26.5703125" customWidth="1"/>
    <col min="6" max="6" width="25.28515625" customWidth="1"/>
    <col min="7" max="7" width="32" customWidth="1"/>
    <col min="8" max="8" width="26.7109375" customWidth="1"/>
    <col min="9" max="12" width="27" customWidth="1"/>
    <col min="13" max="13" width="30.42578125" customWidth="1"/>
    <col min="15" max="15" width="33.28515625" customWidth="1"/>
  </cols>
  <sheetData>
    <row r="1" spans="1:16" ht="21" x14ac:dyDescent="0.35">
      <c r="A1" s="2"/>
      <c r="B1" s="2" t="s">
        <v>307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6" ht="15.7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6" x14ac:dyDescent="0.25">
      <c r="A3" s="4" t="s">
        <v>312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5" spans="1:16" ht="18.75" x14ac:dyDescent="0.3">
      <c r="A5" t="s">
        <v>311</v>
      </c>
      <c r="B5" s="44"/>
      <c r="F5" s="44" t="s">
        <v>310</v>
      </c>
    </row>
    <row r="6" spans="1:16" ht="27" customHeight="1" x14ac:dyDescent="0.35">
      <c r="B6" s="5"/>
      <c r="H6" s="11"/>
    </row>
    <row r="7" spans="1:16" ht="49.5" customHeight="1" x14ac:dyDescent="0.25">
      <c r="A7" s="6" t="s">
        <v>0</v>
      </c>
      <c r="B7" s="6" t="s">
        <v>2</v>
      </c>
      <c r="C7" s="6" t="s">
        <v>8</v>
      </c>
      <c r="D7" s="6" t="s">
        <v>3</v>
      </c>
      <c r="E7" s="6" t="s">
        <v>4</v>
      </c>
      <c r="F7" s="6" t="s">
        <v>5</v>
      </c>
      <c r="G7" s="6" t="s">
        <v>9</v>
      </c>
      <c r="H7" s="6" t="s">
        <v>11</v>
      </c>
      <c r="I7" s="6" t="s">
        <v>10</v>
      </c>
      <c r="J7" s="6" t="s">
        <v>294</v>
      </c>
      <c r="K7" s="12">
        <v>45017</v>
      </c>
      <c r="L7" s="12">
        <v>45047</v>
      </c>
      <c r="M7" s="6" t="s">
        <v>6</v>
      </c>
    </row>
    <row r="8" spans="1:16" ht="48.75" customHeight="1" x14ac:dyDescent="0.4">
      <c r="A8" s="45">
        <v>1</v>
      </c>
      <c r="B8" s="46" t="s">
        <v>12</v>
      </c>
      <c r="C8" s="47" t="s">
        <v>192</v>
      </c>
      <c r="D8" s="48" t="s">
        <v>292</v>
      </c>
      <c r="E8" s="21">
        <v>0</v>
      </c>
      <c r="F8" s="21"/>
      <c r="G8" s="22"/>
      <c r="H8" s="21">
        <v>48380</v>
      </c>
      <c r="I8" s="21"/>
      <c r="J8" s="21">
        <v>75520</v>
      </c>
      <c r="K8" s="21"/>
      <c r="L8" s="21"/>
      <c r="M8" s="23">
        <f>E8+F8+G8+H8+I8+J8+K8+L8</f>
        <v>123900</v>
      </c>
      <c r="O8" s="42"/>
      <c r="P8" s="8"/>
    </row>
    <row r="9" spans="1:16" ht="29.25" customHeight="1" x14ac:dyDescent="0.4">
      <c r="A9" s="45">
        <v>2</v>
      </c>
      <c r="B9" s="46" t="s">
        <v>13</v>
      </c>
      <c r="C9" s="47" t="s">
        <v>193</v>
      </c>
      <c r="D9" s="48" t="s">
        <v>292</v>
      </c>
      <c r="E9" s="21">
        <v>0</v>
      </c>
      <c r="F9" s="21"/>
      <c r="G9" s="22">
        <v>0</v>
      </c>
      <c r="H9" s="21"/>
      <c r="I9" s="21"/>
      <c r="J9" s="21"/>
      <c r="K9" s="21"/>
      <c r="L9" s="21"/>
      <c r="M9" s="23">
        <f>E9+F9+G9+H9+I9</f>
        <v>0</v>
      </c>
      <c r="O9" s="42"/>
      <c r="P9" s="8"/>
    </row>
    <row r="10" spans="1:16" ht="30.75" customHeight="1" x14ac:dyDescent="0.4">
      <c r="A10" s="45">
        <v>3</v>
      </c>
      <c r="B10" s="46" t="s">
        <v>14</v>
      </c>
      <c r="C10" s="47" t="s">
        <v>194</v>
      </c>
      <c r="D10" s="48" t="s">
        <v>292</v>
      </c>
      <c r="E10" s="24">
        <v>97200</v>
      </c>
      <c r="F10" s="21"/>
      <c r="G10" s="25"/>
      <c r="H10" s="21">
        <v>39060</v>
      </c>
      <c r="I10" s="21">
        <v>35280</v>
      </c>
      <c r="J10" s="21"/>
      <c r="K10" s="21">
        <v>37800</v>
      </c>
      <c r="L10" s="21"/>
      <c r="M10" s="23">
        <f>E10+F10+G10+H10+I10+J10+K10</f>
        <v>209340</v>
      </c>
      <c r="O10" s="42"/>
      <c r="P10" s="8"/>
    </row>
    <row r="11" spans="1:16" ht="29.25" customHeight="1" x14ac:dyDescent="0.4">
      <c r="A11" s="45">
        <v>4</v>
      </c>
      <c r="B11" s="46" t="s">
        <v>15</v>
      </c>
      <c r="C11" s="47" t="s">
        <v>195</v>
      </c>
      <c r="D11" s="48" t="s">
        <v>292</v>
      </c>
      <c r="E11" s="21">
        <v>0</v>
      </c>
      <c r="F11" s="21"/>
      <c r="G11" s="25">
        <v>146880</v>
      </c>
      <c r="H11" s="21">
        <v>49320</v>
      </c>
      <c r="I11" s="21">
        <v>44640</v>
      </c>
      <c r="J11" s="21">
        <v>50040</v>
      </c>
      <c r="K11" s="21">
        <v>46800</v>
      </c>
      <c r="L11" s="21"/>
      <c r="M11" s="23">
        <f>E11+F11+G11+H11+I11+J11+K11</f>
        <v>337680</v>
      </c>
      <c r="O11" s="42"/>
      <c r="P11" s="8"/>
    </row>
    <row r="12" spans="1:16" ht="24.75" customHeight="1" x14ac:dyDescent="0.4">
      <c r="A12" s="45">
        <v>5</v>
      </c>
      <c r="B12" s="46" t="s">
        <v>16</v>
      </c>
      <c r="C12" s="47" t="s">
        <v>196</v>
      </c>
      <c r="D12" s="48" t="s">
        <v>292</v>
      </c>
      <c r="E12" s="21">
        <v>0</v>
      </c>
      <c r="F12" s="21"/>
      <c r="G12" s="25">
        <v>361480</v>
      </c>
      <c r="H12" s="21"/>
      <c r="I12" s="21">
        <v>0</v>
      </c>
      <c r="J12" s="21"/>
      <c r="K12" s="21"/>
      <c r="L12" s="21"/>
      <c r="M12" s="23">
        <f>E12+F12+G12+H12+I12</f>
        <v>361480</v>
      </c>
      <c r="O12" s="42"/>
      <c r="P12" s="8"/>
    </row>
    <row r="13" spans="1:16" ht="29.25" customHeight="1" x14ac:dyDescent="0.4">
      <c r="A13" s="45">
        <v>7</v>
      </c>
      <c r="B13" s="46" t="s">
        <v>17</v>
      </c>
      <c r="C13" s="47" t="s">
        <v>197</v>
      </c>
      <c r="D13" s="48" t="s">
        <v>292</v>
      </c>
      <c r="E13" s="21">
        <v>0</v>
      </c>
      <c r="F13" s="21"/>
      <c r="G13" s="25"/>
      <c r="H13" s="21"/>
      <c r="I13" s="21"/>
      <c r="J13" s="21"/>
      <c r="K13" s="21"/>
      <c r="L13" s="21"/>
      <c r="M13" s="23">
        <f>E13+F13+G13+H13+I13</f>
        <v>0</v>
      </c>
      <c r="O13" s="42"/>
      <c r="P13" s="8"/>
    </row>
    <row r="14" spans="1:16" ht="22.5" customHeight="1" x14ac:dyDescent="0.4">
      <c r="A14" s="45">
        <v>8</v>
      </c>
      <c r="B14" s="46" t="s">
        <v>18</v>
      </c>
      <c r="C14" s="47" t="s">
        <v>198</v>
      </c>
      <c r="D14" s="47" t="s">
        <v>292</v>
      </c>
      <c r="E14" s="21">
        <v>0</v>
      </c>
      <c r="F14" s="21"/>
      <c r="G14" s="25"/>
      <c r="H14" s="21"/>
      <c r="I14" s="21"/>
      <c r="J14" s="21">
        <f>(40000+48000)</f>
        <v>88000</v>
      </c>
      <c r="K14" s="21"/>
      <c r="L14" s="21"/>
      <c r="M14" s="23">
        <f>(E14+F14+G14+H14+I14+J14)</f>
        <v>88000</v>
      </c>
      <c r="O14" s="43"/>
      <c r="P14" s="8"/>
    </row>
    <row r="15" spans="1:16" ht="23.25" customHeight="1" x14ac:dyDescent="0.4">
      <c r="A15" s="45">
        <v>9</v>
      </c>
      <c r="B15" s="46" t="s">
        <v>19</v>
      </c>
      <c r="C15" s="47" t="s">
        <v>199</v>
      </c>
      <c r="D15" s="47" t="s">
        <v>292</v>
      </c>
      <c r="E15" s="21">
        <v>0</v>
      </c>
      <c r="F15" s="21"/>
      <c r="G15" s="25"/>
      <c r="H15" s="21"/>
      <c r="I15" s="21"/>
      <c r="J15" s="21"/>
      <c r="K15" s="21">
        <v>91646.01</v>
      </c>
      <c r="L15" s="21"/>
      <c r="M15" s="23">
        <f>(E15+F15+G15+H15+I15+J15+K15+L15)</f>
        <v>91646.01</v>
      </c>
      <c r="O15" s="43"/>
      <c r="P15" s="8"/>
    </row>
    <row r="16" spans="1:16" ht="30.75" customHeight="1" x14ac:dyDescent="0.4">
      <c r="A16" s="45">
        <v>10</v>
      </c>
      <c r="B16" s="46" t="s">
        <v>20</v>
      </c>
      <c r="C16" s="47" t="s">
        <v>200</v>
      </c>
      <c r="D16" s="47" t="s">
        <v>292</v>
      </c>
      <c r="E16" s="21">
        <v>0</v>
      </c>
      <c r="F16" s="21"/>
      <c r="G16" s="25"/>
      <c r="H16" s="21"/>
      <c r="I16" s="21">
        <v>124637.5</v>
      </c>
      <c r="J16" s="21">
        <v>93928</v>
      </c>
      <c r="K16" s="21"/>
      <c r="L16" s="21">
        <f>(137853.5+124637.5)</f>
        <v>262491</v>
      </c>
      <c r="M16" s="23">
        <f>(E16+F16+G16+H16+I16+J16+L16)</f>
        <v>481056.5</v>
      </c>
      <c r="O16" s="43"/>
      <c r="P16" s="8"/>
    </row>
    <row r="17" spans="1:16" ht="28.5" customHeight="1" x14ac:dyDescent="0.4">
      <c r="A17" s="45">
        <v>11</v>
      </c>
      <c r="B17" s="46" t="s">
        <v>21</v>
      </c>
      <c r="C17" s="47" t="s">
        <v>201</v>
      </c>
      <c r="D17" s="47" t="s">
        <v>292</v>
      </c>
      <c r="E17" s="21">
        <v>1141844.1399999999</v>
      </c>
      <c r="F17" s="21"/>
      <c r="G17" s="25"/>
      <c r="H17" s="21"/>
      <c r="I17" s="21"/>
      <c r="J17" s="21"/>
      <c r="K17" s="21"/>
      <c r="L17" s="21"/>
      <c r="M17" s="23">
        <f>E17+F17+G17+H17+I17</f>
        <v>1141844.1399999999</v>
      </c>
      <c r="O17" s="43"/>
      <c r="P17" s="8"/>
    </row>
    <row r="18" spans="1:16" ht="27" customHeight="1" x14ac:dyDescent="0.4">
      <c r="A18" s="45">
        <v>12</v>
      </c>
      <c r="B18" s="46" t="s">
        <v>22</v>
      </c>
      <c r="C18" s="47" t="s">
        <v>202</v>
      </c>
      <c r="D18" s="47" t="s">
        <v>292</v>
      </c>
      <c r="E18" s="21"/>
      <c r="F18" s="21"/>
      <c r="G18" s="25"/>
      <c r="H18" s="21"/>
      <c r="I18" s="21"/>
      <c r="J18" s="21"/>
      <c r="K18" s="21"/>
      <c r="L18" s="21"/>
      <c r="M18" s="23">
        <f>E18+F18+G18+H18+I18</f>
        <v>0</v>
      </c>
      <c r="O18" s="8"/>
      <c r="P18" s="8"/>
    </row>
    <row r="19" spans="1:16" ht="24" customHeight="1" x14ac:dyDescent="0.4">
      <c r="A19" s="45">
        <v>13</v>
      </c>
      <c r="B19" s="46" t="s">
        <v>23</v>
      </c>
      <c r="C19" s="47" t="s">
        <v>197</v>
      </c>
      <c r="D19" s="47" t="s">
        <v>292</v>
      </c>
      <c r="E19" s="21">
        <v>0</v>
      </c>
      <c r="F19" s="21"/>
      <c r="G19" s="26">
        <v>0</v>
      </c>
      <c r="H19" s="21"/>
      <c r="I19" s="21"/>
      <c r="J19" s="21">
        <v>101000</v>
      </c>
      <c r="K19" s="21">
        <f>(67820+65900)</f>
        <v>133720</v>
      </c>
      <c r="L19" s="21">
        <f>(187684.4+73000+38364)</f>
        <v>299048.40000000002</v>
      </c>
      <c r="M19" s="23">
        <f>(E19+F19+G19+H19+I19+J19+K19+L19)</f>
        <v>533768.4</v>
      </c>
      <c r="O19" s="8"/>
      <c r="P19" s="8"/>
    </row>
    <row r="20" spans="1:16" ht="22.5" customHeight="1" x14ac:dyDescent="0.4">
      <c r="A20" s="45">
        <v>14</v>
      </c>
      <c r="B20" s="46" t="s">
        <v>24</v>
      </c>
      <c r="C20" s="47" t="s">
        <v>203</v>
      </c>
      <c r="D20" s="47" t="s">
        <v>292</v>
      </c>
      <c r="E20" s="21">
        <v>0</v>
      </c>
      <c r="F20" s="21">
        <v>30000</v>
      </c>
      <c r="G20" s="25">
        <v>20000</v>
      </c>
      <c r="H20" s="21"/>
      <c r="I20" s="21"/>
      <c r="J20" s="21"/>
      <c r="K20" s="21"/>
      <c r="L20" s="21">
        <v>10000</v>
      </c>
      <c r="M20" s="23">
        <f>E20+F20+G20+H20+I20+J20+K20+L20</f>
        <v>60000</v>
      </c>
      <c r="O20" s="8"/>
      <c r="P20" s="8"/>
    </row>
    <row r="21" spans="1:16" ht="25.5" customHeight="1" x14ac:dyDescent="0.4">
      <c r="A21" s="45">
        <v>16</v>
      </c>
      <c r="B21" s="46" t="s">
        <v>25</v>
      </c>
      <c r="C21" s="47" t="s">
        <v>204</v>
      </c>
      <c r="D21" s="47" t="s">
        <v>292</v>
      </c>
      <c r="E21" s="21">
        <v>0</v>
      </c>
      <c r="F21" s="21">
        <v>12000</v>
      </c>
      <c r="G21" s="25"/>
      <c r="H21" s="21"/>
      <c r="I21" s="21"/>
      <c r="J21" s="21"/>
      <c r="K21" s="21"/>
      <c r="L21" s="21"/>
      <c r="M21" s="23">
        <f>E21+F21+G21+H21+I21</f>
        <v>12000</v>
      </c>
      <c r="O21" s="8"/>
      <c r="P21" s="8"/>
    </row>
    <row r="22" spans="1:16" ht="26.25" customHeight="1" x14ac:dyDescent="0.4">
      <c r="A22" s="45"/>
      <c r="B22" s="46" t="s">
        <v>26</v>
      </c>
      <c r="C22" s="47" t="s">
        <v>205</v>
      </c>
      <c r="D22" s="47" t="s">
        <v>292</v>
      </c>
      <c r="E22" s="21">
        <v>0</v>
      </c>
      <c r="F22" s="21">
        <v>0</v>
      </c>
      <c r="G22" s="25"/>
      <c r="H22" s="21"/>
      <c r="I22" s="21"/>
      <c r="J22" s="21">
        <v>254195.5</v>
      </c>
      <c r="K22" s="21"/>
      <c r="L22" s="21"/>
      <c r="M22" s="23">
        <f>(E22+F22+G22+H22+I22+J22)</f>
        <v>254195.5</v>
      </c>
      <c r="O22" s="8"/>
      <c r="P22" s="8"/>
    </row>
    <row r="23" spans="1:16" ht="32.25" customHeight="1" x14ac:dyDescent="0.4">
      <c r="A23" s="45"/>
      <c r="B23" s="46" t="s">
        <v>27</v>
      </c>
      <c r="C23" s="47" t="s">
        <v>206</v>
      </c>
      <c r="D23" s="49" t="s">
        <v>292</v>
      </c>
      <c r="E23" s="21">
        <v>0</v>
      </c>
      <c r="F23" s="21">
        <v>0</v>
      </c>
      <c r="G23" s="25"/>
      <c r="H23" s="21"/>
      <c r="I23" s="21"/>
      <c r="J23" s="21">
        <f>(87339.7+254354.04)</f>
        <v>341693.74</v>
      </c>
      <c r="K23" s="21"/>
      <c r="L23" s="21"/>
      <c r="M23" s="23">
        <f>(E23+F23+G23+H23+I23+J23)</f>
        <v>341693.74</v>
      </c>
      <c r="O23" s="8"/>
      <c r="P23" s="8"/>
    </row>
    <row r="24" spans="1:16" ht="36.75" customHeight="1" x14ac:dyDescent="0.4">
      <c r="A24" s="45"/>
      <c r="B24" s="46" t="s">
        <v>28</v>
      </c>
      <c r="C24" s="47"/>
      <c r="D24" s="47" t="s">
        <v>292</v>
      </c>
      <c r="E24" s="21">
        <v>0</v>
      </c>
      <c r="F24" s="21">
        <v>0</v>
      </c>
      <c r="G24" s="25"/>
      <c r="H24" s="21"/>
      <c r="I24" s="21"/>
      <c r="J24" s="21"/>
      <c r="K24" s="21"/>
      <c r="L24" s="21"/>
      <c r="M24" s="23"/>
      <c r="O24" s="8"/>
      <c r="P24" s="8"/>
    </row>
    <row r="25" spans="1:16" ht="21" customHeight="1" x14ac:dyDescent="0.4">
      <c r="A25" s="45"/>
      <c r="B25" s="46" t="s">
        <v>29</v>
      </c>
      <c r="C25" s="47" t="s">
        <v>198</v>
      </c>
      <c r="D25" s="47" t="s">
        <v>292</v>
      </c>
      <c r="E25" s="21">
        <v>0</v>
      </c>
      <c r="F25" s="21"/>
      <c r="G25" s="25"/>
      <c r="H25" s="21"/>
      <c r="I25" s="21"/>
      <c r="J25" s="21"/>
      <c r="K25" s="21"/>
      <c r="L25" s="21"/>
      <c r="M25" s="23"/>
      <c r="O25" s="8"/>
      <c r="P25" s="8"/>
    </row>
    <row r="26" spans="1:16" ht="27.75" customHeight="1" x14ac:dyDescent="0.4">
      <c r="A26" s="45"/>
      <c r="B26" s="46" t="s">
        <v>30</v>
      </c>
      <c r="C26" s="47" t="s">
        <v>207</v>
      </c>
      <c r="D26" s="47" t="s">
        <v>292</v>
      </c>
      <c r="E26" s="24">
        <f>(3600+13711.7)</f>
        <v>17311.7</v>
      </c>
      <c r="F26" s="21">
        <v>7851.24</v>
      </c>
      <c r="G26" s="25"/>
      <c r="H26" s="21"/>
      <c r="I26" s="21"/>
      <c r="J26" s="21"/>
      <c r="K26" s="21"/>
      <c r="L26" s="21"/>
      <c r="M26" s="23">
        <f t="shared" ref="M26:M35" si="0">(E26++F26+G26+H26+I26)</f>
        <v>25162.940000000002</v>
      </c>
      <c r="O26" s="8"/>
      <c r="P26" s="8"/>
    </row>
    <row r="27" spans="1:16" ht="18.75" customHeight="1" x14ac:dyDescent="0.4">
      <c r="A27" s="45"/>
      <c r="B27" s="46" t="s">
        <v>31</v>
      </c>
      <c r="C27" s="47"/>
      <c r="D27" s="47" t="s">
        <v>292</v>
      </c>
      <c r="E27" s="21">
        <v>0</v>
      </c>
      <c r="F27" s="21"/>
      <c r="G27" s="25"/>
      <c r="H27" s="21"/>
      <c r="I27" s="21"/>
      <c r="J27" s="21"/>
      <c r="K27" s="21"/>
      <c r="L27" s="21"/>
      <c r="M27" s="23">
        <f t="shared" si="0"/>
        <v>0</v>
      </c>
      <c r="O27" s="8"/>
      <c r="P27" s="8"/>
    </row>
    <row r="28" spans="1:16" ht="32.25" customHeight="1" x14ac:dyDescent="0.4">
      <c r="A28" s="45"/>
      <c r="B28" s="46" t="s">
        <v>32</v>
      </c>
      <c r="C28" s="47" t="s">
        <v>198</v>
      </c>
      <c r="D28" s="47" t="s">
        <v>292</v>
      </c>
      <c r="E28" s="21">
        <v>86700</v>
      </c>
      <c r="F28" s="21">
        <v>0</v>
      </c>
      <c r="G28" s="25"/>
      <c r="H28" s="21"/>
      <c r="I28" s="21"/>
      <c r="J28" s="21"/>
      <c r="K28" s="21"/>
      <c r="L28" s="21"/>
      <c r="M28" s="23">
        <f t="shared" si="0"/>
        <v>86700</v>
      </c>
      <c r="O28" s="8"/>
      <c r="P28" s="8"/>
    </row>
    <row r="29" spans="1:16" ht="25.5" customHeight="1" x14ac:dyDescent="0.4">
      <c r="A29" s="45"/>
      <c r="B29" s="46" t="s">
        <v>33</v>
      </c>
      <c r="C29" s="47" t="s">
        <v>197</v>
      </c>
      <c r="D29" s="47"/>
      <c r="E29" s="21">
        <v>0</v>
      </c>
      <c r="F29" s="21">
        <v>0</v>
      </c>
      <c r="G29" s="25"/>
      <c r="H29" s="21"/>
      <c r="I29" s="21"/>
      <c r="J29" s="21"/>
      <c r="K29" s="21"/>
      <c r="L29" s="21"/>
      <c r="M29" s="23">
        <f t="shared" si="0"/>
        <v>0</v>
      </c>
      <c r="O29" s="8"/>
      <c r="P29" s="8"/>
    </row>
    <row r="30" spans="1:16" ht="23.25" customHeight="1" x14ac:dyDescent="0.4">
      <c r="A30" s="45"/>
      <c r="B30" s="46" t="s">
        <v>34</v>
      </c>
      <c r="C30" s="47" t="s">
        <v>208</v>
      </c>
      <c r="D30" s="47" t="s">
        <v>292</v>
      </c>
      <c r="E30" s="24">
        <v>17995</v>
      </c>
      <c r="F30" s="21">
        <v>0</v>
      </c>
      <c r="G30" s="25"/>
      <c r="H30" s="21"/>
      <c r="I30" s="21"/>
      <c r="J30" s="21"/>
      <c r="K30" s="21"/>
      <c r="L30" s="21"/>
      <c r="M30" s="23">
        <f t="shared" si="0"/>
        <v>17995</v>
      </c>
      <c r="O30" s="8"/>
      <c r="P30" s="8"/>
    </row>
    <row r="31" spans="1:16" ht="29.25" customHeight="1" x14ac:dyDescent="0.4">
      <c r="A31" s="45"/>
      <c r="B31" s="46" t="s">
        <v>35</v>
      </c>
      <c r="C31" s="47" t="s">
        <v>209</v>
      </c>
      <c r="D31" s="47" t="s">
        <v>292</v>
      </c>
      <c r="E31" s="21">
        <v>90000</v>
      </c>
      <c r="F31" s="21">
        <v>0</v>
      </c>
      <c r="G31" s="25"/>
      <c r="H31" s="21"/>
      <c r="I31" s="21"/>
      <c r="J31" s="21"/>
      <c r="K31" s="21"/>
      <c r="L31" s="21"/>
      <c r="M31" s="23">
        <f t="shared" si="0"/>
        <v>90000</v>
      </c>
      <c r="O31" s="8"/>
      <c r="P31" s="8"/>
    </row>
    <row r="32" spans="1:16" ht="23.25" customHeight="1" x14ac:dyDescent="0.4">
      <c r="A32" s="45"/>
      <c r="B32" s="46" t="s">
        <v>36</v>
      </c>
      <c r="C32" s="47" t="s">
        <v>210</v>
      </c>
      <c r="D32" s="47" t="s">
        <v>292</v>
      </c>
      <c r="E32" s="21">
        <v>0</v>
      </c>
      <c r="F32" s="21">
        <v>0</v>
      </c>
      <c r="G32" s="25"/>
      <c r="H32" s="21"/>
      <c r="I32" s="21"/>
      <c r="J32" s="21"/>
      <c r="K32" s="21"/>
      <c r="L32" s="21"/>
      <c r="M32" s="23">
        <f t="shared" si="0"/>
        <v>0</v>
      </c>
      <c r="O32" s="8"/>
      <c r="P32" s="8"/>
    </row>
    <row r="33" spans="1:16" ht="23.25" customHeight="1" x14ac:dyDescent="0.4">
      <c r="A33" s="45"/>
      <c r="B33" s="46" t="s">
        <v>37</v>
      </c>
      <c r="C33" s="47" t="s">
        <v>211</v>
      </c>
      <c r="D33" s="47" t="s">
        <v>292</v>
      </c>
      <c r="E33" s="21">
        <v>90975</v>
      </c>
      <c r="F33" s="21">
        <v>90550</v>
      </c>
      <c r="G33" s="25"/>
      <c r="H33" s="21"/>
      <c r="I33" s="21"/>
      <c r="J33" s="21"/>
      <c r="K33" s="21"/>
      <c r="L33" s="21"/>
      <c r="M33" s="23">
        <f t="shared" si="0"/>
        <v>181525</v>
      </c>
      <c r="O33" s="8"/>
      <c r="P33" s="8"/>
    </row>
    <row r="34" spans="1:16" ht="22.5" customHeight="1" x14ac:dyDescent="0.4">
      <c r="A34" s="45"/>
      <c r="B34" s="46" t="s">
        <v>38</v>
      </c>
      <c r="C34" s="47"/>
      <c r="D34" s="47" t="s">
        <v>292</v>
      </c>
      <c r="E34" s="21"/>
      <c r="F34" s="21"/>
      <c r="G34" s="25"/>
      <c r="H34" s="21"/>
      <c r="I34" s="21"/>
      <c r="J34" s="21"/>
      <c r="K34" s="21"/>
      <c r="L34" s="21"/>
      <c r="M34" s="23">
        <f t="shared" si="0"/>
        <v>0</v>
      </c>
      <c r="O34" s="8"/>
      <c r="P34" s="8"/>
    </row>
    <row r="35" spans="1:16" ht="28.5" customHeight="1" x14ac:dyDescent="0.4">
      <c r="A35" s="45"/>
      <c r="B35" s="46" t="s">
        <v>39</v>
      </c>
      <c r="C35" s="47" t="s">
        <v>212</v>
      </c>
      <c r="D35" s="47" t="s">
        <v>292</v>
      </c>
      <c r="E35" s="21">
        <v>149659.4</v>
      </c>
      <c r="F35" s="21">
        <v>0</v>
      </c>
      <c r="G35" s="25"/>
      <c r="H35" s="21"/>
      <c r="I35" s="21"/>
      <c r="J35" s="21"/>
      <c r="K35" s="21"/>
      <c r="L35" s="21"/>
      <c r="M35" s="23">
        <f t="shared" si="0"/>
        <v>149659.4</v>
      </c>
      <c r="O35" s="8"/>
      <c r="P35" s="8"/>
    </row>
    <row r="36" spans="1:16" ht="30" customHeight="1" x14ac:dyDescent="0.4">
      <c r="A36" s="45"/>
      <c r="B36" s="46" t="s">
        <v>40</v>
      </c>
      <c r="C36" s="47" t="s">
        <v>213</v>
      </c>
      <c r="D36" s="47" t="s">
        <v>292</v>
      </c>
      <c r="E36" s="21">
        <v>0</v>
      </c>
      <c r="F36" s="21"/>
      <c r="G36" s="25"/>
      <c r="H36" s="21"/>
      <c r="I36" s="21"/>
      <c r="J36" s="21"/>
      <c r="K36" s="21">
        <v>116784.03</v>
      </c>
      <c r="L36" s="21"/>
      <c r="M36" s="23">
        <f>(E36++F36+G36+H36+I36+J36+K36+L36)</f>
        <v>116784.03</v>
      </c>
      <c r="O36" s="8"/>
      <c r="P36" s="8"/>
    </row>
    <row r="37" spans="1:16" ht="28.5" customHeight="1" x14ac:dyDescent="0.4">
      <c r="A37" s="45"/>
      <c r="B37" s="46" t="s">
        <v>41</v>
      </c>
      <c r="C37" s="47" t="s">
        <v>198</v>
      </c>
      <c r="D37" s="47" t="s">
        <v>292</v>
      </c>
      <c r="E37" s="21"/>
      <c r="F37" s="21"/>
      <c r="G37" s="25">
        <v>286600</v>
      </c>
      <c r="H37" s="21">
        <f>(162542.3+30072.3+102694)</f>
        <v>295308.59999999998</v>
      </c>
      <c r="I37" s="21">
        <f>(49572.3+118692.4+4948.92)</f>
        <v>173213.62000000002</v>
      </c>
      <c r="J37" s="21">
        <f>(30860+61250+100000)</f>
        <v>192110</v>
      </c>
      <c r="K37" s="21">
        <f>(24000+166590+55500)</f>
        <v>246090</v>
      </c>
      <c r="L37" s="21"/>
      <c r="M37" s="23">
        <f>(E37++F37+G37+H37+I37+J37+K37)</f>
        <v>1193322.22</v>
      </c>
      <c r="O37" s="8"/>
      <c r="P37" s="8"/>
    </row>
    <row r="38" spans="1:16" ht="26.25" customHeight="1" x14ac:dyDescent="0.4">
      <c r="A38" s="45"/>
      <c r="B38" s="46" t="s">
        <v>42</v>
      </c>
      <c r="C38" s="47" t="s">
        <v>195</v>
      </c>
      <c r="D38" s="48" t="s">
        <v>292</v>
      </c>
      <c r="E38" s="21">
        <v>0</v>
      </c>
      <c r="F38" s="21">
        <v>0</v>
      </c>
      <c r="G38" s="25"/>
      <c r="H38" s="21"/>
      <c r="I38" s="21"/>
      <c r="J38" s="21"/>
      <c r="K38" s="21"/>
      <c r="L38" s="21">
        <f>(76713.9+112209.5+112209.5)</f>
        <v>301132.90000000002</v>
      </c>
      <c r="M38" s="23">
        <f>(E38++F38+G38+H38+I38+J38+K38+L38)</f>
        <v>301132.90000000002</v>
      </c>
      <c r="O38" s="8"/>
      <c r="P38" s="8"/>
    </row>
    <row r="39" spans="1:16" ht="23.25" customHeight="1" x14ac:dyDescent="0.4">
      <c r="A39" s="45"/>
      <c r="B39" s="46" t="s">
        <v>43</v>
      </c>
      <c r="C39" s="47" t="s">
        <v>214</v>
      </c>
      <c r="D39" s="47" t="s">
        <v>292</v>
      </c>
      <c r="E39" s="21"/>
      <c r="F39" s="21"/>
      <c r="G39" s="25">
        <v>6000</v>
      </c>
      <c r="H39" s="21"/>
      <c r="I39" s="21"/>
      <c r="J39" s="21"/>
      <c r="K39" s="21"/>
      <c r="L39" s="21"/>
      <c r="M39" s="23">
        <f>(E39++F39+G39+H39+I39)</f>
        <v>6000</v>
      </c>
      <c r="O39" s="8"/>
      <c r="P39" s="8"/>
    </row>
    <row r="40" spans="1:16" ht="23.25" customHeight="1" x14ac:dyDescent="0.4">
      <c r="A40" s="45"/>
      <c r="B40" s="46" t="s">
        <v>44</v>
      </c>
      <c r="C40" s="47" t="s">
        <v>215</v>
      </c>
      <c r="D40" s="47" t="s">
        <v>292</v>
      </c>
      <c r="E40" s="21"/>
      <c r="F40" s="21"/>
      <c r="G40" s="25"/>
      <c r="H40" s="21"/>
      <c r="I40" s="21"/>
      <c r="J40" s="21"/>
      <c r="K40" s="21"/>
      <c r="L40" s="21"/>
      <c r="M40" s="23">
        <f>(E40++F40+G40+H40+I40+K40)</f>
        <v>0</v>
      </c>
      <c r="O40" s="8"/>
      <c r="P40" s="8"/>
    </row>
    <row r="41" spans="1:16" ht="30.75" customHeight="1" x14ac:dyDescent="0.4">
      <c r="A41" s="45"/>
      <c r="B41" s="46" t="s">
        <v>45</v>
      </c>
      <c r="C41" s="47" t="s">
        <v>216</v>
      </c>
      <c r="D41" s="50" t="s">
        <v>292</v>
      </c>
      <c r="E41" s="21">
        <v>45400</v>
      </c>
      <c r="F41" s="21"/>
      <c r="G41" s="25">
        <v>44820.380000000005</v>
      </c>
      <c r="H41" s="21"/>
      <c r="I41" s="21"/>
      <c r="J41" s="21"/>
      <c r="K41" s="21"/>
      <c r="L41" s="21"/>
      <c r="M41" s="23">
        <f>(E41++F41+G41+H41+I41)</f>
        <v>90220.38</v>
      </c>
      <c r="O41" s="8"/>
      <c r="P41" s="8"/>
    </row>
    <row r="42" spans="1:16" ht="23.25" customHeight="1" x14ac:dyDescent="0.4">
      <c r="A42" s="45"/>
      <c r="B42" s="46" t="s">
        <v>46</v>
      </c>
      <c r="C42" s="47" t="s">
        <v>217</v>
      </c>
      <c r="D42" s="47" t="s">
        <v>292</v>
      </c>
      <c r="E42" s="21"/>
      <c r="F42" s="21"/>
      <c r="G42" s="25"/>
      <c r="H42" s="21"/>
      <c r="I42" s="21">
        <v>25600.01</v>
      </c>
      <c r="J42" s="21">
        <v>24006.49</v>
      </c>
      <c r="K42" s="21">
        <v>21001.03</v>
      </c>
      <c r="L42" s="21"/>
      <c r="M42" s="23">
        <f>(E42++F42+G42+H42+I42+J42+K42)</f>
        <v>70607.53</v>
      </c>
      <c r="O42" s="8"/>
      <c r="P42" s="8"/>
    </row>
    <row r="43" spans="1:16" ht="27" customHeight="1" x14ac:dyDescent="0.4">
      <c r="A43" s="45"/>
      <c r="B43" s="46" t="s">
        <v>47</v>
      </c>
      <c r="C43" s="47" t="s">
        <v>218</v>
      </c>
      <c r="D43" s="47" t="s">
        <v>292</v>
      </c>
      <c r="E43" s="21">
        <v>1167856.02</v>
      </c>
      <c r="F43" s="21"/>
      <c r="G43" s="25"/>
      <c r="H43" s="21"/>
      <c r="I43" s="21"/>
      <c r="J43" s="21"/>
      <c r="K43" s="21"/>
      <c r="L43" s="21"/>
      <c r="M43" s="23">
        <f>(E43++F43+G43+H43+I43)</f>
        <v>1167856.02</v>
      </c>
      <c r="O43" s="8"/>
      <c r="P43" s="8"/>
    </row>
    <row r="44" spans="1:16" ht="27.75" customHeight="1" x14ac:dyDescent="0.4">
      <c r="A44" s="45"/>
      <c r="B44" s="46" t="s">
        <v>48</v>
      </c>
      <c r="C44" s="47" t="s">
        <v>205</v>
      </c>
      <c r="D44" s="47" t="s">
        <v>292</v>
      </c>
      <c r="E44" s="21">
        <v>12950</v>
      </c>
      <c r="F44" s="21"/>
      <c r="G44" s="25"/>
      <c r="H44" s="21">
        <v>92500</v>
      </c>
      <c r="I44" s="21"/>
      <c r="J44" s="21">
        <v>86751.4</v>
      </c>
      <c r="K44" s="21"/>
      <c r="L44" s="21"/>
      <c r="M44" s="23">
        <f>(E44++F44+G44+H44+I44+J44+K44)</f>
        <v>192201.4</v>
      </c>
      <c r="O44" s="8"/>
      <c r="P44" s="8"/>
    </row>
    <row r="45" spans="1:16" ht="25.5" customHeight="1" x14ac:dyDescent="0.4">
      <c r="A45" s="45"/>
      <c r="B45" s="46" t="s">
        <v>49</v>
      </c>
      <c r="C45" s="47" t="s">
        <v>197</v>
      </c>
      <c r="D45" s="47" t="s">
        <v>292</v>
      </c>
      <c r="E45" s="21">
        <v>0</v>
      </c>
      <c r="F45" s="21"/>
      <c r="G45" s="25"/>
      <c r="H45" s="21">
        <v>127015.2</v>
      </c>
      <c r="I45" s="21"/>
      <c r="J45" s="21">
        <f>(34856+127440)</f>
        <v>162296</v>
      </c>
      <c r="K45" s="21">
        <f>(204960+23353.2+127440+26775)</f>
        <v>382528.2</v>
      </c>
      <c r="L45" s="21">
        <f>(125690+18390+129988.8+189103)</f>
        <v>463171.8</v>
      </c>
      <c r="M45" s="23">
        <f>(E45++F45+G45+H45+I45+J45+K45+L45)</f>
        <v>1135011.2</v>
      </c>
      <c r="O45" s="8"/>
      <c r="P45" s="8"/>
    </row>
    <row r="46" spans="1:16" ht="26.25" customHeight="1" x14ac:dyDescent="0.4">
      <c r="A46" s="45"/>
      <c r="B46" s="46" t="s">
        <v>50</v>
      </c>
      <c r="C46" s="47" t="s">
        <v>219</v>
      </c>
      <c r="D46" s="47" t="s">
        <v>293</v>
      </c>
      <c r="E46" s="21">
        <v>0</v>
      </c>
      <c r="F46" s="21">
        <v>0</v>
      </c>
      <c r="G46" s="25"/>
      <c r="H46" s="21"/>
      <c r="I46" s="21"/>
      <c r="J46" s="21"/>
      <c r="K46" s="21"/>
      <c r="L46" s="21"/>
      <c r="M46" s="23">
        <f>(E46++F46+G46+H46+I46)</f>
        <v>0</v>
      </c>
      <c r="O46" s="8"/>
      <c r="P46" s="8"/>
    </row>
    <row r="47" spans="1:16" ht="25.5" customHeight="1" x14ac:dyDescent="0.4">
      <c r="A47" s="45">
        <v>17</v>
      </c>
      <c r="B47" s="46" t="s">
        <v>51</v>
      </c>
      <c r="C47" s="47" t="s">
        <v>201</v>
      </c>
      <c r="D47" s="47" t="s">
        <v>293</v>
      </c>
      <c r="E47" s="21">
        <v>11234</v>
      </c>
      <c r="F47" s="21"/>
      <c r="G47" s="25"/>
      <c r="H47" s="21"/>
      <c r="I47" s="21"/>
      <c r="J47" s="21"/>
      <c r="K47" s="21"/>
      <c r="L47" s="21"/>
      <c r="M47" s="23">
        <f>E47+F47+G47+H47+I47</f>
        <v>11234</v>
      </c>
      <c r="O47" s="8"/>
      <c r="P47" s="8"/>
    </row>
    <row r="48" spans="1:16" ht="26.25" customHeight="1" x14ac:dyDescent="0.4">
      <c r="A48" s="45"/>
      <c r="B48" s="46" t="s">
        <v>52</v>
      </c>
      <c r="C48" s="47" t="s">
        <v>220</v>
      </c>
      <c r="D48" s="47" t="s">
        <v>292</v>
      </c>
      <c r="E48" s="21">
        <v>272921.38</v>
      </c>
      <c r="F48" s="21"/>
      <c r="G48" s="25"/>
      <c r="H48" s="21"/>
      <c r="I48" s="21"/>
      <c r="J48" s="21"/>
      <c r="K48" s="21"/>
      <c r="L48" s="21"/>
      <c r="M48" s="23">
        <f>E48+F48+G48+H48+I48</f>
        <v>272921.38</v>
      </c>
      <c r="O48" s="8"/>
      <c r="P48" s="8"/>
    </row>
    <row r="49" spans="1:16" ht="24.75" customHeight="1" x14ac:dyDescent="0.4">
      <c r="A49" s="45"/>
      <c r="B49" s="46" t="s">
        <v>53</v>
      </c>
      <c r="C49" s="47" t="s">
        <v>221</v>
      </c>
      <c r="D49" s="47" t="s">
        <v>292</v>
      </c>
      <c r="E49" s="21">
        <v>0</v>
      </c>
      <c r="F49" s="21">
        <v>1539.9</v>
      </c>
      <c r="G49" s="25"/>
      <c r="H49" s="21"/>
      <c r="I49" s="21"/>
      <c r="J49" s="21"/>
      <c r="K49" s="21"/>
      <c r="L49" s="21"/>
      <c r="M49" s="23">
        <f>E49+F49+G49+H49+I49</f>
        <v>1539.9</v>
      </c>
      <c r="O49" s="8"/>
      <c r="P49" s="8"/>
    </row>
    <row r="50" spans="1:16" ht="25.5" customHeight="1" x14ac:dyDescent="0.4">
      <c r="A50" s="45"/>
      <c r="B50" s="46" t="s">
        <v>54</v>
      </c>
      <c r="C50" s="47" t="s">
        <v>202</v>
      </c>
      <c r="D50" s="47" t="s">
        <v>292</v>
      </c>
      <c r="E50" s="21">
        <v>0</v>
      </c>
      <c r="F50" s="21">
        <v>0</v>
      </c>
      <c r="G50" s="25">
        <v>36462</v>
      </c>
      <c r="H50" s="21">
        <v>12508</v>
      </c>
      <c r="I50" s="21">
        <v>22302</v>
      </c>
      <c r="J50" s="21">
        <v>18821</v>
      </c>
      <c r="K50" s="21"/>
      <c r="L50" s="21"/>
      <c r="M50" s="23">
        <f>E50+F50+G50+H50+I50+J50+K50</f>
        <v>90093</v>
      </c>
      <c r="O50" s="8"/>
      <c r="P50" s="8"/>
    </row>
    <row r="51" spans="1:16" ht="30.75" customHeight="1" x14ac:dyDescent="0.4">
      <c r="A51" s="45"/>
      <c r="B51" s="46" t="s">
        <v>55</v>
      </c>
      <c r="C51" s="47" t="s">
        <v>222</v>
      </c>
      <c r="D51" s="47" t="s">
        <v>292</v>
      </c>
      <c r="E51" s="21"/>
      <c r="F51" s="21"/>
      <c r="G51" s="25"/>
      <c r="H51" s="21"/>
      <c r="I51" s="21"/>
      <c r="J51" s="21"/>
      <c r="K51" s="21"/>
      <c r="L51" s="21"/>
      <c r="M51" s="23">
        <f t="shared" ref="M51:M56" si="1">E51+F51+G51+H51+I51</f>
        <v>0</v>
      </c>
      <c r="O51" s="8"/>
      <c r="P51" s="8"/>
    </row>
    <row r="52" spans="1:16" ht="21" customHeight="1" x14ac:dyDescent="0.4">
      <c r="A52" s="45"/>
      <c r="B52" s="46" t="s">
        <v>56</v>
      </c>
      <c r="C52" s="47" t="s">
        <v>217</v>
      </c>
      <c r="D52" s="47"/>
      <c r="E52" s="21">
        <v>423595</v>
      </c>
      <c r="F52" s="21"/>
      <c r="G52" s="25"/>
      <c r="H52" s="21"/>
      <c r="I52" s="21"/>
      <c r="J52" s="21"/>
      <c r="K52" s="21"/>
      <c r="L52" s="21"/>
      <c r="M52" s="23">
        <f t="shared" si="1"/>
        <v>423595</v>
      </c>
      <c r="O52" s="8"/>
      <c r="P52" s="8"/>
    </row>
    <row r="53" spans="1:16" ht="21" customHeight="1" x14ac:dyDescent="0.4">
      <c r="A53" s="45"/>
      <c r="B53" s="46" t="s">
        <v>57</v>
      </c>
      <c r="C53" s="47" t="s">
        <v>223</v>
      </c>
      <c r="D53" s="47" t="s">
        <v>292</v>
      </c>
      <c r="E53" s="21">
        <v>159730.70000000001</v>
      </c>
      <c r="F53" s="21">
        <v>0</v>
      </c>
      <c r="G53" s="25"/>
      <c r="H53" s="21"/>
      <c r="I53" s="21"/>
      <c r="J53" s="21"/>
      <c r="K53" s="21"/>
      <c r="L53" s="21"/>
      <c r="M53" s="23">
        <f t="shared" si="1"/>
        <v>159730.70000000001</v>
      </c>
      <c r="O53" s="8"/>
      <c r="P53" s="8"/>
    </row>
    <row r="54" spans="1:16" ht="19.5" customHeight="1" x14ac:dyDescent="0.4">
      <c r="A54" s="45"/>
      <c r="B54" s="46" t="s">
        <v>58</v>
      </c>
      <c r="C54" s="47" t="s">
        <v>224</v>
      </c>
      <c r="D54" s="47" t="s">
        <v>292</v>
      </c>
      <c r="E54" s="21">
        <v>263782.18000000005</v>
      </c>
      <c r="F54" s="21">
        <v>0</v>
      </c>
      <c r="G54" s="25"/>
      <c r="H54" s="21"/>
      <c r="I54" s="21"/>
      <c r="J54" s="21"/>
      <c r="K54" s="21"/>
      <c r="L54" s="21"/>
      <c r="M54" s="23">
        <f t="shared" si="1"/>
        <v>263782.18000000005</v>
      </c>
      <c r="O54" s="8"/>
      <c r="P54" s="8"/>
    </row>
    <row r="55" spans="1:16" ht="26.25" x14ac:dyDescent="0.4">
      <c r="A55" s="45"/>
      <c r="B55" s="46" t="s">
        <v>59</v>
      </c>
      <c r="C55" s="47" t="s">
        <v>225</v>
      </c>
      <c r="D55" s="47" t="s">
        <v>292</v>
      </c>
      <c r="E55" s="21"/>
      <c r="F55" s="21">
        <f>(62000+45020)</f>
        <v>107020</v>
      </c>
      <c r="G55" s="25"/>
      <c r="H55" s="21"/>
      <c r="I55" s="21"/>
      <c r="J55" s="21"/>
      <c r="K55" s="21"/>
      <c r="L55" s="21"/>
      <c r="M55" s="23">
        <f t="shared" si="1"/>
        <v>107020</v>
      </c>
      <c r="O55" s="8"/>
      <c r="P55" s="8"/>
    </row>
    <row r="56" spans="1:16" ht="21.75" customHeight="1" x14ac:dyDescent="0.4">
      <c r="A56" s="45"/>
      <c r="B56" s="46" t="s">
        <v>60</v>
      </c>
      <c r="C56" s="47" t="s">
        <v>226</v>
      </c>
      <c r="D56" s="47" t="s">
        <v>292</v>
      </c>
      <c r="E56" s="27"/>
      <c r="F56" s="27">
        <v>0</v>
      </c>
      <c r="G56" s="25">
        <v>327184</v>
      </c>
      <c r="H56" s="21"/>
      <c r="I56" s="21"/>
      <c r="J56" s="21"/>
      <c r="K56" s="21"/>
      <c r="L56" s="21"/>
      <c r="M56" s="23">
        <f t="shared" si="1"/>
        <v>327184</v>
      </c>
      <c r="O56" s="8"/>
      <c r="P56" s="8"/>
    </row>
    <row r="57" spans="1:16" s="13" customFormat="1" ht="22.5" customHeight="1" x14ac:dyDescent="0.4">
      <c r="A57" s="45"/>
      <c r="B57" s="51" t="s">
        <v>61</v>
      </c>
      <c r="C57" s="48" t="s">
        <v>218</v>
      </c>
      <c r="D57" s="48" t="s">
        <v>292</v>
      </c>
      <c r="E57" s="28">
        <v>0</v>
      </c>
      <c r="F57" s="28">
        <v>0</v>
      </c>
      <c r="G57" s="25">
        <v>238553.7</v>
      </c>
      <c r="H57" s="28"/>
      <c r="I57" s="28">
        <v>36034.65</v>
      </c>
      <c r="J57" s="28"/>
      <c r="K57" s="28">
        <v>20532</v>
      </c>
      <c r="L57" s="21">
        <v>32500</v>
      </c>
      <c r="M57" s="29">
        <f>E57+F57+G57+H57+I57+J57+K57+L57</f>
        <v>327620.35000000003</v>
      </c>
      <c r="O57" s="8"/>
      <c r="P57" s="8"/>
    </row>
    <row r="58" spans="1:16" ht="24.75" customHeight="1" x14ac:dyDescent="0.4">
      <c r="A58" s="45"/>
      <c r="B58" s="46" t="s">
        <v>62</v>
      </c>
      <c r="C58" s="47" t="s">
        <v>198</v>
      </c>
      <c r="D58" s="47" t="s">
        <v>292</v>
      </c>
      <c r="E58" s="21"/>
      <c r="F58" s="21"/>
      <c r="G58" s="25"/>
      <c r="H58" s="21"/>
      <c r="I58" s="21"/>
      <c r="J58" s="21"/>
      <c r="K58" s="21"/>
      <c r="L58" s="21"/>
      <c r="M58" s="23">
        <f>E58+F58+G58+H58+I58+J58</f>
        <v>0</v>
      </c>
      <c r="O58" s="8"/>
      <c r="P58" s="8"/>
    </row>
    <row r="59" spans="1:16" ht="21" customHeight="1" x14ac:dyDescent="0.4">
      <c r="A59" s="45"/>
      <c r="B59" s="46" t="s">
        <v>63</v>
      </c>
      <c r="C59" s="47" t="s">
        <v>198</v>
      </c>
      <c r="D59" s="47" t="s">
        <v>292</v>
      </c>
      <c r="E59" s="24">
        <v>14250</v>
      </c>
      <c r="F59" s="21"/>
      <c r="G59" s="25">
        <v>875</v>
      </c>
      <c r="H59" s="21">
        <f>(345.6+345.6+508.14+1803.8+1036.8+2314.92+10835)</f>
        <v>17189.86</v>
      </c>
      <c r="I59" s="21">
        <f>(2303.6+2880.45+495.84+284.2+13002+3558.75+62.4+4628.92+52.78)</f>
        <v>27268.940000000002</v>
      </c>
      <c r="J59" s="21">
        <f>(9750+4940)</f>
        <v>14690</v>
      </c>
      <c r="K59" s="21"/>
      <c r="L59" s="21">
        <v>2073.6</v>
      </c>
      <c r="M59" s="23">
        <f>E59+F59+G59+H59+I59+J59+K59+L59</f>
        <v>76347.400000000009</v>
      </c>
      <c r="O59" s="8"/>
      <c r="P59" s="8"/>
    </row>
    <row r="60" spans="1:16" ht="23.25" customHeight="1" x14ac:dyDescent="0.4">
      <c r="A60" s="45"/>
      <c r="B60" s="46" t="s">
        <v>64</v>
      </c>
      <c r="C60" s="47" t="s">
        <v>198</v>
      </c>
      <c r="D60" s="47" t="s">
        <v>292</v>
      </c>
      <c r="E60" s="21">
        <v>179900</v>
      </c>
      <c r="F60" s="21">
        <v>0</v>
      </c>
      <c r="G60" s="25"/>
      <c r="H60" s="21"/>
      <c r="I60" s="21"/>
      <c r="J60" s="21"/>
      <c r="K60" s="21"/>
      <c r="L60" s="21"/>
      <c r="M60" s="23">
        <f>E60+F60+G60+H60+I60</f>
        <v>179900</v>
      </c>
      <c r="O60" s="8"/>
      <c r="P60" s="8"/>
    </row>
    <row r="61" spans="1:16" ht="30.75" customHeight="1" x14ac:dyDescent="0.4">
      <c r="A61" s="45"/>
      <c r="B61" s="46" t="s">
        <v>65</v>
      </c>
      <c r="C61" s="47" t="s">
        <v>227</v>
      </c>
      <c r="D61" s="47" t="s">
        <v>293</v>
      </c>
      <c r="E61" s="21">
        <v>0</v>
      </c>
      <c r="F61" s="21">
        <v>0</v>
      </c>
      <c r="G61" s="25"/>
      <c r="H61" s="21"/>
      <c r="I61" s="21"/>
      <c r="J61" s="21"/>
      <c r="K61" s="21"/>
      <c r="L61" s="21"/>
      <c r="M61" s="23">
        <f>E61+F61+G61+H61+I61</f>
        <v>0</v>
      </c>
      <c r="O61" s="8"/>
      <c r="P61" s="8"/>
    </row>
    <row r="62" spans="1:16" ht="25.5" customHeight="1" x14ac:dyDescent="0.4">
      <c r="A62" s="45"/>
      <c r="B62" s="46" t="s">
        <v>66</v>
      </c>
      <c r="C62" s="47" t="s">
        <v>228</v>
      </c>
      <c r="D62" s="47" t="s">
        <v>293</v>
      </c>
      <c r="E62" s="24"/>
      <c r="F62" s="21">
        <v>0</v>
      </c>
      <c r="G62" s="25"/>
      <c r="H62" s="21"/>
      <c r="I62" s="21"/>
      <c r="J62" s="21"/>
      <c r="K62" s="21"/>
      <c r="L62" s="21"/>
      <c r="M62" s="23">
        <f>E62+F62+G62+H62+I62</f>
        <v>0</v>
      </c>
      <c r="O62" s="8"/>
      <c r="P62" s="8"/>
    </row>
    <row r="63" spans="1:16" ht="21" customHeight="1" x14ac:dyDescent="0.4">
      <c r="A63" s="45"/>
      <c r="B63" s="46" t="s">
        <v>67</v>
      </c>
      <c r="C63" s="47" t="s">
        <v>229</v>
      </c>
      <c r="D63" s="47" t="s">
        <v>293</v>
      </c>
      <c r="E63" s="21">
        <v>199954.44000000006</v>
      </c>
      <c r="F63" s="21">
        <v>0</v>
      </c>
      <c r="G63" s="25"/>
      <c r="H63" s="21"/>
      <c r="I63" s="21"/>
      <c r="J63" s="21"/>
      <c r="K63" s="21"/>
      <c r="L63" s="21"/>
      <c r="M63" s="23">
        <f>E63+F63+G63+H63+I63</f>
        <v>199954.44000000006</v>
      </c>
      <c r="O63" s="8"/>
      <c r="P63" s="8"/>
    </row>
    <row r="64" spans="1:16" ht="18.75" customHeight="1" x14ac:dyDescent="0.4">
      <c r="A64" s="45"/>
      <c r="B64" s="46" t="s">
        <v>68</v>
      </c>
      <c r="C64" s="47" t="s">
        <v>230</v>
      </c>
      <c r="D64" s="47" t="s">
        <v>292</v>
      </c>
      <c r="E64" s="21">
        <v>0</v>
      </c>
      <c r="F64" s="21">
        <v>0</v>
      </c>
      <c r="G64" s="25"/>
      <c r="H64" s="21"/>
      <c r="I64" s="21"/>
      <c r="J64" s="21"/>
      <c r="K64" s="21"/>
      <c r="L64" s="21"/>
      <c r="M64" s="23">
        <f>E64+F64+G64+H64+I64</f>
        <v>0</v>
      </c>
      <c r="O64" s="8"/>
      <c r="P64" s="8"/>
    </row>
    <row r="65" spans="1:16" ht="26.25" customHeight="1" x14ac:dyDescent="0.4">
      <c r="A65" s="45"/>
      <c r="B65" s="46" t="s">
        <v>69</v>
      </c>
      <c r="C65" s="47" t="s">
        <v>231</v>
      </c>
      <c r="D65" s="47" t="s">
        <v>292</v>
      </c>
      <c r="E65" s="21">
        <v>1440139</v>
      </c>
      <c r="F65" s="21">
        <v>0</v>
      </c>
      <c r="G65" s="25"/>
      <c r="H65" s="21"/>
      <c r="I65" s="21"/>
      <c r="J65" s="21"/>
      <c r="K65" s="21"/>
      <c r="L65" s="21"/>
      <c r="M65" s="23">
        <f>(E65+F65+G65+H65+I65+J65)</f>
        <v>1440139</v>
      </c>
      <c r="O65" s="8"/>
      <c r="P65" s="8"/>
    </row>
    <row r="66" spans="1:16" ht="22.5" customHeight="1" x14ac:dyDescent="0.4">
      <c r="A66" s="45"/>
      <c r="B66" s="46" t="s">
        <v>70</v>
      </c>
      <c r="C66" s="47" t="s">
        <v>232</v>
      </c>
      <c r="D66" s="47" t="s">
        <v>292</v>
      </c>
      <c r="E66" s="21"/>
      <c r="F66" s="21">
        <v>0</v>
      </c>
      <c r="G66" s="25"/>
      <c r="H66" s="21"/>
      <c r="I66" s="21"/>
      <c r="J66" s="21"/>
      <c r="K66" s="21"/>
      <c r="L66" s="21"/>
      <c r="M66" s="23">
        <f>E66+F66+G66+H66+I66</f>
        <v>0</v>
      </c>
      <c r="O66" s="8"/>
      <c r="P66" s="8"/>
    </row>
    <row r="67" spans="1:16" ht="25.5" customHeight="1" x14ac:dyDescent="0.4">
      <c r="A67" s="45"/>
      <c r="B67" s="46" t="s">
        <v>71</v>
      </c>
      <c r="C67" s="47" t="s">
        <v>198</v>
      </c>
      <c r="D67" s="47" t="s">
        <v>292</v>
      </c>
      <c r="E67" s="21"/>
      <c r="F67" s="21"/>
      <c r="G67" s="25"/>
      <c r="H67" s="21"/>
      <c r="I67" s="21"/>
      <c r="J67" s="21">
        <v>182606.64</v>
      </c>
      <c r="K67" s="21">
        <f>(192500+65000)</f>
        <v>257500</v>
      </c>
      <c r="L67" s="21">
        <v>198000</v>
      </c>
      <c r="M67" s="23">
        <f>E67+F67+G67+H67+I67+J67+K67+L67</f>
        <v>638106.64</v>
      </c>
      <c r="O67" s="8"/>
      <c r="P67" s="8"/>
    </row>
    <row r="68" spans="1:16" ht="24.75" customHeight="1" x14ac:dyDescent="0.4">
      <c r="A68" s="45"/>
      <c r="B68" s="46" t="s">
        <v>72</v>
      </c>
      <c r="C68" s="47" t="s">
        <v>229</v>
      </c>
      <c r="D68" s="47" t="s">
        <v>292</v>
      </c>
      <c r="E68" s="21"/>
      <c r="F68" s="21">
        <v>0</v>
      </c>
      <c r="G68" s="25"/>
      <c r="H68" s="21"/>
      <c r="I68" s="21"/>
      <c r="J68" s="21">
        <f>(61237+23715)</f>
        <v>84952</v>
      </c>
      <c r="K68" s="21"/>
      <c r="L68" s="21"/>
      <c r="M68" s="23">
        <f>(E68+F68+G68+H68+I68+J68)</f>
        <v>84952</v>
      </c>
      <c r="O68" s="8"/>
      <c r="P68" s="8"/>
    </row>
    <row r="69" spans="1:16" ht="21.75" customHeight="1" x14ac:dyDescent="0.4">
      <c r="A69" s="45"/>
      <c r="B69" s="46" t="s">
        <v>73</v>
      </c>
      <c r="C69" s="47" t="s">
        <v>233</v>
      </c>
      <c r="D69" s="47" t="s">
        <v>293</v>
      </c>
      <c r="E69" s="24">
        <v>1400</v>
      </c>
      <c r="F69" s="21">
        <v>0</v>
      </c>
      <c r="G69" s="25"/>
      <c r="H69" s="21"/>
      <c r="I69" s="21"/>
      <c r="J69" s="21"/>
      <c r="K69" s="21"/>
      <c r="L69" s="21"/>
      <c r="M69" s="23">
        <f t="shared" ref="M69:M77" si="2">E69+F69+G69+H69+I69</f>
        <v>1400</v>
      </c>
      <c r="O69" s="8"/>
      <c r="P69" s="8"/>
    </row>
    <row r="70" spans="1:16" ht="24.75" customHeight="1" x14ac:dyDescent="0.4">
      <c r="A70" s="45"/>
      <c r="B70" s="46" t="s">
        <v>74</v>
      </c>
      <c r="C70" s="47" t="s">
        <v>197</v>
      </c>
      <c r="D70" s="47" t="s">
        <v>292</v>
      </c>
      <c r="E70" s="21">
        <v>0</v>
      </c>
      <c r="F70" s="21"/>
      <c r="G70" s="25"/>
      <c r="H70" s="21"/>
      <c r="I70" s="21"/>
      <c r="J70" s="21"/>
      <c r="K70" s="21"/>
      <c r="L70" s="21"/>
      <c r="M70" s="23">
        <f t="shared" si="2"/>
        <v>0</v>
      </c>
      <c r="O70" s="8"/>
      <c r="P70" s="8"/>
    </row>
    <row r="71" spans="1:16" ht="30" customHeight="1" x14ac:dyDescent="0.4">
      <c r="A71" s="45"/>
      <c r="B71" s="46" t="s">
        <v>75</v>
      </c>
      <c r="C71" s="47" t="s">
        <v>218</v>
      </c>
      <c r="D71" s="47" t="s">
        <v>292</v>
      </c>
      <c r="E71" s="21">
        <v>120000</v>
      </c>
      <c r="F71" s="21">
        <v>0</v>
      </c>
      <c r="G71" s="25"/>
      <c r="H71" s="21"/>
      <c r="I71" s="21">
        <v>11000</v>
      </c>
      <c r="J71" s="21"/>
      <c r="K71" s="21"/>
      <c r="L71" s="21"/>
      <c r="M71" s="23">
        <f t="shared" si="2"/>
        <v>131000</v>
      </c>
      <c r="O71" s="8"/>
      <c r="P71" s="8"/>
    </row>
    <row r="72" spans="1:16" ht="32.25" customHeight="1" x14ac:dyDescent="0.4">
      <c r="A72" s="45"/>
      <c r="B72" s="46" t="s">
        <v>76</v>
      </c>
      <c r="C72" s="47" t="s">
        <v>234</v>
      </c>
      <c r="D72" s="47" t="s">
        <v>292</v>
      </c>
      <c r="E72" s="21"/>
      <c r="F72" s="21"/>
      <c r="G72" s="25"/>
      <c r="H72" s="21"/>
      <c r="I72" s="21"/>
      <c r="J72" s="21"/>
      <c r="K72" s="21"/>
      <c r="L72" s="21"/>
      <c r="M72" s="23">
        <f t="shared" si="2"/>
        <v>0</v>
      </c>
      <c r="O72" s="8"/>
      <c r="P72" s="8"/>
    </row>
    <row r="73" spans="1:16" ht="25.5" customHeight="1" x14ac:dyDescent="0.4">
      <c r="A73" s="45"/>
      <c r="B73" s="46" t="s">
        <v>77</v>
      </c>
      <c r="C73" s="47" t="s">
        <v>198</v>
      </c>
      <c r="D73" s="47" t="s">
        <v>292</v>
      </c>
      <c r="E73" s="21">
        <v>29117.16</v>
      </c>
      <c r="F73" s="21">
        <v>0</v>
      </c>
      <c r="G73" s="25"/>
      <c r="H73" s="21"/>
      <c r="I73" s="21"/>
      <c r="J73" s="21"/>
      <c r="K73" s="21"/>
      <c r="L73" s="21"/>
      <c r="M73" s="23">
        <f t="shared" si="2"/>
        <v>29117.16</v>
      </c>
      <c r="O73" s="8"/>
      <c r="P73" s="8"/>
    </row>
    <row r="74" spans="1:16" ht="21" customHeight="1" x14ac:dyDescent="0.4">
      <c r="A74" s="45"/>
      <c r="B74" s="46" t="s">
        <v>78</v>
      </c>
      <c r="C74" s="47" t="s">
        <v>235</v>
      </c>
      <c r="D74" s="47" t="s">
        <v>292</v>
      </c>
      <c r="E74" s="21">
        <v>0</v>
      </c>
      <c r="F74" s="21">
        <v>0</v>
      </c>
      <c r="G74" s="25"/>
      <c r="H74" s="21"/>
      <c r="I74" s="21"/>
      <c r="J74" s="21"/>
      <c r="K74" s="21"/>
      <c r="L74" s="21"/>
      <c r="M74" s="23">
        <f t="shared" si="2"/>
        <v>0</v>
      </c>
      <c r="O74" s="8"/>
      <c r="P74" s="8"/>
    </row>
    <row r="75" spans="1:16" ht="23.25" customHeight="1" x14ac:dyDescent="0.4">
      <c r="A75" s="45"/>
      <c r="B75" s="46" t="s">
        <v>79</v>
      </c>
      <c r="C75" s="47" t="s">
        <v>236</v>
      </c>
      <c r="D75" s="47" t="s">
        <v>292</v>
      </c>
      <c r="E75" s="21">
        <v>0</v>
      </c>
      <c r="F75" s="21">
        <v>0</v>
      </c>
      <c r="G75" s="25"/>
      <c r="H75" s="21"/>
      <c r="I75" s="21"/>
      <c r="J75" s="21"/>
      <c r="K75" s="21"/>
      <c r="L75" s="21"/>
      <c r="M75" s="23">
        <f t="shared" si="2"/>
        <v>0</v>
      </c>
      <c r="O75" s="8"/>
      <c r="P75" s="8"/>
    </row>
    <row r="76" spans="1:16" ht="19.5" customHeight="1" x14ac:dyDescent="0.4">
      <c r="A76" s="45"/>
      <c r="B76" s="46" t="s">
        <v>80</v>
      </c>
      <c r="C76" s="47" t="s">
        <v>237</v>
      </c>
      <c r="D76" s="47" t="s">
        <v>292</v>
      </c>
      <c r="E76" s="21"/>
      <c r="F76" s="21"/>
      <c r="G76" s="25"/>
      <c r="H76" s="21"/>
      <c r="I76" s="21"/>
      <c r="J76" s="21"/>
      <c r="K76" s="21"/>
      <c r="L76" s="21"/>
      <c r="M76" s="23">
        <f t="shared" si="2"/>
        <v>0</v>
      </c>
      <c r="O76" s="8"/>
      <c r="P76" s="8"/>
    </row>
    <row r="77" spans="1:16" ht="21" customHeight="1" x14ac:dyDescent="0.4">
      <c r="A77" s="45"/>
      <c r="B77" s="46" t="s">
        <v>81</v>
      </c>
      <c r="C77" s="47" t="s">
        <v>206</v>
      </c>
      <c r="D77" s="47" t="s">
        <v>292</v>
      </c>
      <c r="E77" s="21">
        <v>0</v>
      </c>
      <c r="F77" s="21">
        <v>0</v>
      </c>
      <c r="G77" s="25">
        <v>22562.19</v>
      </c>
      <c r="H77" s="21"/>
      <c r="I77" s="21"/>
      <c r="J77" s="21"/>
      <c r="K77" s="21"/>
      <c r="L77" s="21"/>
      <c r="M77" s="23">
        <f t="shared" si="2"/>
        <v>22562.19</v>
      </c>
      <c r="O77" s="8"/>
      <c r="P77" s="8"/>
    </row>
    <row r="78" spans="1:16" ht="23.25" customHeight="1" x14ac:dyDescent="0.4">
      <c r="A78" s="45"/>
      <c r="B78" s="46" t="s">
        <v>82</v>
      </c>
      <c r="C78" s="47" t="s">
        <v>223</v>
      </c>
      <c r="D78" s="47" t="s">
        <v>292</v>
      </c>
      <c r="E78" s="21">
        <v>0</v>
      </c>
      <c r="F78" s="21"/>
      <c r="G78" s="25"/>
      <c r="H78" s="21">
        <v>22562.19</v>
      </c>
      <c r="I78" s="21">
        <v>24266.02</v>
      </c>
      <c r="J78" s="21">
        <f>(12133.01+33019)</f>
        <v>45152.01</v>
      </c>
      <c r="K78" s="21">
        <f>(179625+26992.85)</f>
        <v>206617.85</v>
      </c>
      <c r="L78" s="21"/>
      <c r="M78" s="23">
        <f>(E78+F78+G78+H78+I78+J78+K78)</f>
        <v>298598.07</v>
      </c>
      <c r="O78" s="8"/>
      <c r="P78" s="8"/>
    </row>
    <row r="79" spans="1:16" ht="23.25" customHeight="1" x14ac:dyDescent="0.4">
      <c r="A79" s="45"/>
      <c r="B79" s="46" t="s">
        <v>83</v>
      </c>
      <c r="C79" s="47" t="s">
        <v>238</v>
      </c>
      <c r="D79" s="47" t="s">
        <v>292</v>
      </c>
      <c r="E79" s="21">
        <v>0</v>
      </c>
      <c r="F79" s="21">
        <v>0</v>
      </c>
      <c r="G79" s="25"/>
      <c r="H79" s="21"/>
      <c r="I79" s="21"/>
      <c r="J79" s="21">
        <v>126360</v>
      </c>
      <c r="K79" s="21"/>
      <c r="L79" s="21"/>
      <c r="M79" s="23">
        <f>(E79+F79+G79+H79+I79+J79)</f>
        <v>126360</v>
      </c>
      <c r="O79" s="8"/>
      <c r="P79" s="8"/>
    </row>
    <row r="80" spans="1:16" ht="22.5" customHeight="1" x14ac:dyDescent="0.4">
      <c r="A80" s="45"/>
      <c r="B80" s="46" t="s">
        <v>84</v>
      </c>
      <c r="C80" s="47" t="s">
        <v>239</v>
      </c>
      <c r="D80" s="47" t="s">
        <v>292</v>
      </c>
      <c r="E80" s="21"/>
      <c r="F80" s="21"/>
      <c r="G80" s="25"/>
      <c r="H80" s="21">
        <v>39800.5</v>
      </c>
      <c r="I80" s="21">
        <v>25165.4</v>
      </c>
      <c r="J80" s="21"/>
      <c r="K80" s="21"/>
      <c r="L80" s="21"/>
      <c r="M80" s="23">
        <f>E80+F80+G80+H80+I80</f>
        <v>64965.9</v>
      </c>
      <c r="O80" s="8"/>
      <c r="P80" s="8"/>
    </row>
    <row r="81" spans="1:16" ht="24.75" customHeight="1" x14ac:dyDescent="0.4">
      <c r="A81" s="45"/>
      <c r="B81" s="46" t="s">
        <v>85</v>
      </c>
      <c r="C81" s="47" t="s">
        <v>240</v>
      </c>
      <c r="D81" s="47" t="s">
        <v>292</v>
      </c>
      <c r="E81" s="21">
        <v>0</v>
      </c>
      <c r="F81" s="21">
        <v>0</v>
      </c>
      <c r="G81" s="25">
        <v>128115</v>
      </c>
      <c r="H81" s="21">
        <f>(900+1125+900+1125+1125+1125+900+900+1170+675+1350+900+675+2075+900+2300+675)</f>
        <v>18820</v>
      </c>
      <c r="I81" s="21">
        <f>(2300+675+2525+675+2300+900+900+900+675+2300+675+2300+2750+900+675+675+900+2300+900)</f>
        <v>26225</v>
      </c>
      <c r="J81" s="21">
        <f>(2300+900+2300+2300+1125+675+675+2300+900+900+2300+2525+810+675+2300+2300+1125+2300+675)</f>
        <v>29385</v>
      </c>
      <c r="K81" s="21">
        <f>(1125+1125+1350+1125+3315+3700+1125+675+675+1350+675+1125+3000+1350+3225+1125+675+675)</f>
        <v>27415</v>
      </c>
      <c r="L81" s="21">
        <f>(3225+1125+810+900+900+2300+675+675+2525+2525)</f>
        <v>15660</v>
      </c>
      <c r="M81" s="23">
        <f>(E81+F81+G81+H81+I81+J81+K81+L81)</f>
        <v>245620</v>
      </c>
      <c r="O81" s="8"/>
      <c r="P81" s="8"/>
    </row>
    <row r="82" spans="1:16" ht="21.75" customHeight="1" x14ac:dyDescent="0.4">
      <c r="A82" s="45"/>
      <c r="B82" s="46" t="s">
        <v>86</v>
      </c>
      <c r="C82" s="47" t="s">
        <v>220</v>
      </c>
      <c r="D82" s="47" t="s">
        <v>292</v>
      </c>
      <c r="E82" s="21">
        <v>158000</v>
      </c>
      <c r="F82" s="21">
        <v>0</v>
      </c>
      <c r="G82" s="25"/>
      <c r="H82" s="21"/>
      <c r="I82" s="21"/>
      <c r="J82" s="21"/>
      <c r="K82" s="21"/>
      <c r="L82" s="21"/>
      <c r="M82" s="23">
        <f t="shared" ref="M82:M91" si="3">E82+F82+G82+H82+I82</f>
        <v>158000</v>
      </c>
      <c r="O82" s="8"/>
      <c r="P82" s="8"/>
    </row>
    <row r="83" spans="1:16" ht="25.5" customHeight="1" x14ac:dyDescent="0.4">
      <c r="A83" s="45"/>
      <c r="B83" s="46" t="s">
        <v>87</v>
      </c>
      <c r="C83" s="47" t="s">
        <v>223</v>
      </c>
      <c r="D83" s="47" t="s">
        <v>292</v>
      </c>
      <c r="E83" s="21">
        <v>220975</v>
      </c>
      <c r="F83" s="21">
        <v>0</v>
      </c>
      <c r="G83" s="25"/>
      <c r="H83" s="21"/>
      <c r="I83" s="21"/>
      <c r="J83" s="21"/>
      <c r="K83" s="21"/>
      <c r="L83" s="21"/>
      <c r="M83" s="23">
        <f t="shared" si="3"/>
        <v>220975</v>
      </c>
      <c r="O83" s="8"/>
      <c r="P83" s="8"/>
    </row>
    <row r="84" spans="1:16" ht="23.25" customHeight="1" x14ac:dyDescent="0.4">
      <c r="A84" s="45"/>
      <c r="B84" s="46" t="s">
        <v>88</v>
      </c>
      <c r="C84" s="47" t="s">
        <v>241</v>
      </c>
      <c r="D84" s="47" t="s">
        <v>293</v>
      </c>
      <c r="E84" s="21">
        <v>5392.6</v>
      </c>
      <c r="F84" s="21">
        <v>0</v>
      </c>
      <c r="G84" s="25"/>
      <c r="H84" s="21"/>
      <c r="I84" s="21"/>
      <c r="J84" s="21"/>
      <c r="K84" s="21"/>
      <c r="L84" s="21"/>
      <c r="M84" s="23">
        <f t="shared" si="3"/>
        <v>5392.6</v>
      </c>
      <c r="O84" s="8"/>
      <c r="P84" s="8"/>
    </row>
    <row r="85" spans="1:16" ht="21.75" customHeight="1" x14ac:dyDescent="0.4">
      <c r="A85" s="45"/>
      <c r="B85" s="46" t="s">
        <v>89</v>
      </c>
      <c r="C85" s="47" t="s">
        <v>197</v>
      </c>
      <c r="D85" s="47" t="s">
        <v>293</v>
      </c>
      <c r="E85" s="21"/>
      <c r="F85" s="21">
        <v>0</v>
      </c>
      <c r="G85" s="25"/>
      <c r="H85" s="21"/>
      <c r="I85" s="21"/>
      <c r="J85" s="21"/>
      <c r="K85" s="21"/>
      <c r="L85" s="21"/>
      <c r="M85" s="23">
        <f t="shared" si="3"/>
        <v>0</v>
      </c>
      <c r="O85" s="8"/>
      <c r="P85" s="8"/>
    </row>
    <row r="86" spans="1:16" ht="21" customHeight="1" x14ac:dyDescent="0.4">
      <c r="A86" s="45"/>
      <c r="B86" s="46" t="s">
        <v>90</v>
      </c>
      <c r="C86" s="47" t="s">
        <v>202</v>
      </c>
      <c r="D86" s="47" t="s">
        <v>293</v>
      </c>
      <c r="E86" s="21">
        <v>0</v>
      </c>
      <c r="F86" s="21">
        <v>0</v>
      </c>
      <c r="G86" s="25"/>
      <c r="H86" s="21"/>
      <c r="I86" s="21"/>
      <c r="J86" s="21"/>
      <c r="K86" s="21"/>
      <c r="L86" s="21"/>
      <c r="M86" s="23">
        <f t="shared" si="3"/>
        <v>0</v>
      </c>
      <c r="O86" s="8"/>
      <c r="P86" s="8"/>
    </row>
    <row r="87" spans="1:16" ht="23.25" customHeight="1" x14ac:dyDescent="0.4">
      <c r="A87" s="45"/>
      <c r="B87" s="46" t="s">
        <v>91</v>
      </c>
      <c r="C87" s="47" t="s">
        <v>242</v>
      </c>
      <c r="D87" s="47" t="s">
        <v>292</v>
      </c>
      <c r="E87" s="21">
        <v>2199.9899999999998</v>
      </c>
      <c r="F87" s="21">
        <v>0</v>
      </c>
      <c r="G87" s="25"/>
      <c r="H87" s="21"/>
      <c r="I87" s="21"/>
      <c r="J87" s="21"/>
      <c r="K87" s="21"/>
      <c r="L87" s="21"/>
      <c r="M87" s="23">
        <f t="shared" si="3"/>
        <v>2199.9899999999998</v>
      </c>
      <c r="O87" s="8"/>
      <c r="P87" s="8"/>
    </row>
    <row r="88" spans="1:16" ht="26.25" x14ac:dyDescent="0.4">
      <c r="A88" s="45"/>
      <c r="B88" s="46" t="s">
        <v>92</v>
      </c>
      <c r="C88" s="47" t="s">
        <v>238</v>
      </c>
      <c r="D88" s="47" t="s">
        <v>292</v>
      </c>
      <c r="E88" s="21">
        <v>140820</v>
      </c>
      <c r="F88" s="21">
        <v>0</v>
      </c>
      <c r="G88" s="25"/>
      <c r="H88" s="21"/>
      <c r="I88" s="21"/>
      <c r="J88" s="21"/>
      <c r="K88" s="21"/>
      <c r="L88" s="21"/>
      <c r="M88" s="23">
        <f t="shared" si="3"/>
        <v>140820</v>
      </c>
      <c r="O88" s="8"/>
      <c r="P88" s="8"/>
    </row>
    <row r="89" spans="1:16" ht="19.5" customHeight="1" x14ac:dyDescent="0.4">
      <c r="A89" s="45"/>
      <c r="B89" s="46" t="s">
        <v>93</v>
      </c>
      <c r="C89" s="47" t="s">
        <v>243</v>
      </c>
      <c r="D89" s="47" t="s">
        <v>292</v>
      </c>
      <c r="E89" s="21"/>
      <c r="F89" s="21"/>
      <c r="G89" s="25"/>
      <c r="H89" s="21"/>
      <c r="I89" s="21"/>
      <c r="J89" s="21"/>
      <c r="K89" s="21"/>
      <c r="L89" s="21"/>
      <c r="M89" s="23">
        <f t="shared" si="3"/>
        <v>0</v>
      </c>
      <c r="O89" s="8"/>
      <c r="P89" s="8"/>
    </row>
    <row r="90" spans="1:16" ht="22.5" customHeight="1" x14ac:dyDescent="0.4">
      <c r="A90" s="45"/>
      <c r="B90" s="46" t="s">
        <v>94</v>
      </c>
      <c r="C90" s="47" t="s">
        <v>198</v>
      </c>
      <c r="D90" s="47" t="s">
        <v>292</v>
      </c>
      <c r="E90" s="21">
        <v>0</v>
      </c>
      <c r="F90" s="21">
        <v>0</v>
      </c>
      <c r="G90" s="25">
        <v>157176</v>
      </c>
      <c r="H90" s="21"/>
      <c r="I90" s="21"/>
      <c r="J90" s="21"/>
      <c r="K90" s="21"/>
      <c r="L90" s="21"/>
      <c r="M90" s="23">
        <f t="shared" si="3"/>
        <v>157176</v>
      </c>
      <c r="O90" s="8"/>
      <c r="P90" s="8"/>
    </row>
    <row r="91" spans="1:16" ht="23.25" customHeight="1" x14ac:dyDescent="0.4">
      <c r="A91" s="45"/>
      <c r="B91" s="46" t="s">
        <v>95</v>
      </c>
      <c r="C91" s="47" t="s">
        <v>244</v>
      </c>
      <c r="D91" s="47" t="s">
        <v>292</v>
      </c>
      <c r="E91" s="21">
        <v>0</v>
      </c>
      <c r="F91" s="21">
        <v>369850</v>
      </c>
      <c r="G91" s="25"/>
      <c r="H91" s="21"/>
      <c r="I91" s="21"/>
      <c r="J91" s="21"/>
      <c r="K91" s="21"/>
      <c r="L91" s="21"/>
      <c r="M91" s="23">
        <f t="shared" si="3"/>
        <v>369850</v>
      </c>
      <c r="O91" s="8"/>
      <c r="P91" s="8"/>
    </row>
    <row r="92" spans="1:16" ht="23.25" customHeight="1" x14ac:dyDescent="0.4">
      <c r="A92" s="45"/>
      <c r="B92" s="46" t="s">
        <v>96</v>
      </c>
      <c r="C92" s="47" t="s">
        <v>245</v>
      </c>
      <c r="D92" s="47" t="s">
        <v>292</v>
      </c>
      <c r="E92" s="21"/>
      <c r="F92" s="21"/>
      <c r="G92" s="25"/>
      <c r="H92" s="21"/>
      <c r="I92" s="21"/>
      <c r="J92" s="21">
        <v>15340</v>
      </c>
      <c r="K92" s="21"/>
      <c r="L92" s="21"/>
      <c r="M92" s="23">
        <f>E92+F92+G92+H92+I92+J92</f>
        <v>15340</v>
      </c>
      <c r="O92" s="8"/>
      <c r="P92" s="8"/>
    </row>
    <row r="93" spans="1:16" ht="23.25" customHeight="1" x14ac:dyDescent="0.4">
      <c r="A93" s="45"/>
      <c r="B93" s="46" t="s">
        <v>97</v>
      </c>
      <c r="C93" s="47" t="s">
        <v>230</v>
      </c>
      <c r="D93" s="47" t="s">
        <v>292</v>
      </c>
      <c r="E93" s="21">
        <v>0</v>
      </c>
      <c r="F93" s="21">
        <v>5645</v>
      </c>
      <c r="G93" s="25">
        <v>57100</v>
      </c>
      <c r="H93" s="21"/>
      <c r="I93" s="21"/>
      <c r="J93" s="21"/>
      <c r="K93" s="21"/>
      <c r="L93" s="21"/>
      <c r="M93" s="23">
        <f t="shared" ref="M93:M105" si="4">E93+F93+G93+H93+I93</f>
        <v>62745</v>
      </c>
      <c r="O93" s="8"/>
      <c r="P93" s="8"/>
    </row>
    <row r="94" spans="1:16" ht="26.25" x14ac:dyDescent="0.4">
      <c r="A94" s="45"/>
      <c r="B94" s="46" t="s">
        <v>98</v>
      </c>
      <c r="C94" s="47" t="s">
        <v>246</v>
      </c>
      <c r="D94" s="47" t="s">
        <v>292</v>
      </c>
      <c r="E94" s="21">
        <v>3000</v>
      </c>
      <c r="F94" s="21"/>
      <c r="G94" s="25"/>
      <c r="H94" s="21"/>
      <c r="I94" s="21"/>
      <c r="J94" s="21"/>
      <c r="K94" s="21"/>
      <c r="L94" s="21"/>
      <c r="M94" s="23">
        <f t="shared" si="4"/>
        <v>3000</v>
      </c>
      <c r="O94" s="8"/>
      <c r="P94" s="8"/>
    </row>
    <row r="95" spans="1:16" ht="25.5" customHeight="1" x14ac:dyDescent="0.4">
      <c r="A95" s="45"/>
      <c r="B95" s="46" t="s">
        <v>99</v>
      </c>
      <c r="C95" s="47" t="s">
        <v>247</v>
      </c>
      <c r="D95" s="50" t="s">
        <v>292</v>
      </c>
      <c r="E95" s="21">
        <v>34900.379999999997</v>
      </c>
      <c r="F95" s="21"/>
      <c r="G95" s="25"/>
      <c r="H95" s="21"/>
      <c r="I95" s="21"/>
      <c r="J95" s="21"/>
      <c r="K95" s="21"/>
      <c r="L95" s="21"/>
      <c r="M95" s="23">
        <f t="shared" si="4"/>
        <v>34900.379999999997</v>
      </c>
      <c r="O95" s="8"/>
      <c r="P95" s="8"/>
    </row>
    <row r="96" spans="1:16" ht="27" customHeight="1" x14ac:dyDescent="0.4">
      <c r="A96" s="45"/>
      <c r="B96" s="46" t="s">
        <v>100</v>
      </c>
      <c r="C96" s="47" t="s">
        <v>248</v>
      </c>
      <c r="D96" s="47" t="s">
        <v>292</v>
      </c>
      <c r="E96" s="21"/>
      <c r="F96" s="21"/>
      <c r="G96" s="25"/>
      <c r="H96" s="21"/>
      <c r="I96" s="21"/>
      <c r="J96" s="21"/>
      <c r="K96" s="21"/>
      <c r="L96" s="21"/>
      <c r="M96" s="23">
        <f t="shared" si="4"/>
        <v>0</v>
      </c>
      <c r="O96" s="8"/>
      <c r="P96" s="8"/>
    </row>
    <row r="97" spans="1:16" ht="25.5" customHeight="1" x14ac:dyDescent="0.4">
      <c r="A97" s="45"/>
      <c r="B97" s="46" t="s">
        <v>101</v>
      </c>
      <c r="C97" s="47" t="s">
        <v>198</v>
      </c>
      <c r="D97" s="47" t="s">
        <v>292</v>
      </c>
      <c r="E97" s="21"/>
      <c r="F97" s="21">
        <v>0</v>
      </c>
      <c r="G97" s="25"/>
      <c r="H97" s="21"/>
      <c r="I97" s="21"/>
      <c r="J97" s="21"/>
      <c r="K97" s="21"/>
      <c r="L97" s="21"/>
      <c r="M97" s="23">
        <f t="shared" si="4"/>
        <v>0</v>
      </c>
      <c r="O97" s="8"/>
      <c r="P97" s="8"/>
    </row>
    <row r="98" spans="1:16" ht="26.25" x14ac:dyDescent="0.4">
      <c r="A98" s="45"/>
      <c r="B98" s="46" t="s">
        <v>102</v>
      </c>
      <c r="C98" s="47" t="s">
        <v>198</v>
      </c>
      <c r="D98" s="47" t="s">
        <v>292</v>
      </c>
      <c r="E98" s="21"/>
      <c r="F98" s="21"/>
      <c r="G98" s="25"/>
      <c r="H98" s="21"/>
      <c r="I98" s="21"/>
      <c r="J98" s="21"/>
      <c r="K98" s="21"/>
      <c r="L98" s="21"/>
      <c r="M98" s="23">
        <f t="shared" si="4"/>
        <v>0</v>
      </c>
      <c r="O98" s="8"/>
      <c r="P98" s="8"/>
    </row>
    <row r="99" spans="1:16" ht="21.75" customHeight="1" x14ac:dyDescent="0.4">
      <c r="A99" s="45"/>
      <c r="B99" s="46" t="s">
        <v>103</v>
      </c>
      <c r="C99" s="47" t="s">
        <v>249</v>
      </c>
      <c r="D99" s="47" t="s">
        <v>292</v>
      </c>
      <c r="E99" s="21"/>
      <c r="F99" s="21"/>
      <c r="G99" s="25"/>
      <c r="H99" s="21"/>
      <c r="I99" s="21">
        <v>11000</v>
      </c>
      <c r="J99" s="21"/>
      <c r="K99" s="21"/>
      <c r="L99" s="21"/>
      <c r="M99" s="23">
        <f t="shared" si="4"/>
        <v>11000</v>
      </c>
      <c r="O99" s="8"/>
      <c r="P99" s="8"/>
    </row>
    <row r="100" spans="1:16" ht="19.5" customHeight="1" x14ac:dyDescent="0.4">
      <c r="A100" s="45"/>
      <c r="B100" s="46" t="s">
        <v>104</v>
      </c>
      <c r="C100" s="47" t="s">
        <v>201</v>
      </c>
      <c r="D100" s="47" t="s">
        <v>292</v>
      </c>
      <c r="E100" s="21">
        <v>68853</v>
      </c>
      <c r="F100" s="21">
        <v>0</v>
      </c>
      <c r="G100" s="25"/>
      <c r="H100" s="21"/>
      <c r="I100" s="21"/>
      <c r="J100" s="21"/>
      <c r="K100" s="21"/>
      <c r="L100" s="21"/>
      <c r="M100" s="23">
        <f t="shared" si="4"/>
        <v>68853</v>
      </c>
      <c r="O100" s="8"/>
      <c r="P100" s="8"/>
    </row>
    <row r="101" spans="1:16" ht="25.5" customHeight="1" x14ac:dyDescent="0.4">
      <c r="A101" s="45"/>
      <c r="B101" s="46" t="s">
        <v>105</v>
      </c>
      <c r="C101" s="47" t="s">
        <v>250</v>
      </c>
      <c r="D101" s="47" t="s">
        <v>292</v>
      </c>
      <c r="E101" s="21">
        <v>105320.16</v>
      </c>
      <c r="F101" s="21">
        <v>0</v>
      </c>
      <c r="G101" s="25"/>
      <c r="H101" s="21"/>
      <c r="I101" s="21"/>
      <c r="J101" s="21"/>
      <c r="K101" s="21"/>
      <c r="L101" s="21"/>
      <c r="M101" s="23">
        <f t="shared" si="4"/>
        <v>105320.16</v>
      </c>
      <c r="O101" s="8"/>
      <c r="P101" s="8"/>
    </row>
    <row r="102" spans="1:16" ht="21.75" customHeight="1" x14ac:dyDescent="0.4">
      <c r="A102" s="45"/>
      <c r="B102" s="46" t="s">
        <v>106</v>
      </c>
      <c r="C102" s="47" t="s">
        <v>198</v>
      </c>
      <c r="D102" s="47" t="s">
        <v>293</v>
      </c>
      <c r="E102" s="21">
        <v>107700</v>
      </c>
      <c r="F102" s="21"/>
      <c r="G102" s="25"/>
      <c r="H102" s="21"/>
      <c r="I102" s="21"/>
      <c r="J102" s="21"/>
      <c r="K102" s="21"/>
      <c r="L102" s="21"/>
      <c r="M102" s="23">
        <f t="shared" si="4"/>
        <v>107700</v>
      </c>
      <c r="O102" s="8"/>
      <c r="P102" s="8"/>
    </row>
    <row r="103" spans="1:16" ht="27" customHeight="1" x14ac:dyDescent="0.4">
      <c r="A103" s="45"/>
      <c r="B103" s="46" t="s">
        <v>107</v>
      </c>
      <c r="C103" s="52" t="s">
        <v>251</v>
      </c>
      <c r="D103" s="47" t="s">
        <v>292</v>
      </c>
      <c r="E103" s="21"/>
      <c r="F103" s="21">
        <v>0</v>
      </c>
      <c r="G103" s="25"/>
      <c r="H103" s="21"/>
      <c r="I103" s="21"/>
      <c r="J103" s="21"/>
      <c r="K103" s="21"/>
      <c r="L103" s="21"/>
      <c r="M103" s="23">
        <f t="shared" si="4"/>
        <v>0</v>
      </c>
      <c r="O103" s="8"/>
      <c r="P103" s="8"/>
    </row>
    <row r="104" spans="1:16" ht="24.75" customHeight="1" x14ac:dyDescent="0.4">
      <c r="A104" s="45"/>
      <c r="B104" s="46" t="s">
        <v>108</v>
      </c>
      <c r="C104" s="47" t="s">
        <v>198</v>
      </c>
      <c r="D104" s="47" t="s">
        <v>292</v>
      </c>
      <c r="E104" s="21">
        <v>373540</v>
      </c>
      <c r="F104" s="21">
        <v>0</v>
      </c>
      <c r="G104" s="25"/>
      <c r="H104" s="21"/>
      <c r="I104" s="21"/>
      <c r="J104" s="21"/>
      <c r="K104" s="21"/>
      <c r="L104" s="21"/>
      <c r="M104" s="23">
        <f t="shared" si="4"/>
        <v>373540</v>
      </c>
      <c r="O104" s="8"/>
      <c r="P104" s="8"/>
    </row>
    <row r="105" spans="1:16" ht="21.75" customHeight="1" x14ac:dyDescent="0.4">
      <c r="A105" s="45"/>
      <c r="B105" s="46" t="s">
        <v>109</v>
      </c>
      <c r="C105" s="47" t="s">
        <v>212</v>
      </c>
      <c r="D105" s="47" t="s">
        <v>292</v>
      </c>
      <c r="E105" s="21">
        <v>40500.49</v>
      </c>
      <c r="F105" s="21">
        <v>0</v>
      </c>
      <c r="G105" s="25">
        <v>430092</v>
      </c>
      <c r="H105" s="21"/>
      <c r="I105" s="21"/>
      <c r="J105" s="21"/>
      <c r="K105" s="21"/>
      <c r="L105" s="21"/>
      <c r="M105" s="23">
        <f t="shared" si="4"/>
        <v>470592.49</v>
      </c>
      <c r="O105" s="8"/>
      <c r="P105" s="8"/>
    </row>
    <row r="106" spans="1:16" ht="19.5" customHeight="1" x14ac:dyDescent="0.4">
      <c r="A106" s="45"/>
      <c r="B106" s="46" t="s">
        <v>110</v>
      </c>
      <c r="C106" s="47" t="s">
        <v>198</v>
      </c>
      <c r="D106" s="47" t="s">
        <v>292</v>
      </c>
      <c r="E106" s="21">
        <v>0</v>
      </c>
      <c r="F106" s="21">
        <v>0</v>
      </c>
      <c r="G106" s="25"/>
      <c r="H106" s="21"/>
      <c r="I106" s="21"/>
      <c r="J106" s="21">
        <f>(210632+180573.2)</f>
        <v>391205.2</v>
      </c>
      <c r="K106" s="21">
        <f>(203079.35+83980+92040+184275)</f>
        <v>563374.35</v>
      </c>
      <c r="L106" s="21">
        <v>50970</v>
      </c>
      <c r="M106" s="23">
        <f>E106+F106+G106+H106+I106+J106+K106+L106</f>
        <v>1005549.55</v>
      </c>
      <c r="O106" s="8"/>
      <c r="P106" s="8"/>
    </row>
    <row r="107" spans="1:16" ht="24.75" customHeight="1" x14ac:dyDescent="0.4">
      <c r="A107" s="45"/>
      <c r="B107" s="46" t="s">
        <v>111</v>
      </c>
      <c r="C107" s="47" t="s">
        <v>198</v>
      </c>
      <c r="D107" s="47" t="s">
        <v>292</v>
      </c>
      <c r="E107" s="21">
        <v>0</v>
      </c>
      <c r="F107" s="21">
        <v>0</v>
      </c>
      <c r="G107" s="25">
        <v>972516.53</v>
      </c>
      <c r="H107" s="21">
        <f>(149625+149625+69978.15+69978.15)</f>
        <v>439206.30000000005</v>
      </c>
      <c r="I107" s="21"/>
      <c r="J107" s="21">
        <f>(110000+37557)</f>
        <v>147557</v>
      </c>
      <c r="K107" s="21">
        <v>198000</v>
      </c>
      <c r="L107" s="21">
        <f>(165000+165000+165000)</f>
        <v>495000</v>
      </c>
      <c r="M107" s="23">
        <f>E107+F107+G107+H107+I107+J107+K107+L107</f>
        <v>2252279.83</v>
      </c>
      <c r="O107" s="8"/>
      <c r="P107" s="8"/>
    </row>
    <row r="108" spans="1:16" ht="28.5" customHeight="1" x14ac:dyDescent="0.4">
      <c r="A108" s="45"/>
      <c r="B108" s="46" t="s">
        <v>112</v>
      </c>
      <c r="C108" s="47" t="s">
        <v>237</v>
      </c>
      <c r="D108" s="47" t="s">
        <v>292</v>
      </c>
      <c r="E108" s="21">
        <v>0</v>
      </c>
      <c r="F108" s="21">
        <v>0</v>
      </c>
      <c r="G108" s="25"/>
      <c r="H108" s="21"/>
      <c r="I108" s="21"/>
      <c r="J108" s="21">
        <f>(43600.65+41294.35+2514.01+1676.01+35194.04+33597.15+9858.9+398947.03+33127.8)</f>
        <v>599809.94000000006</v>
      </c>
      <c r="K108" s="21">
        <f>(396728.63+16560.57+41821.16+396728.63+2543.98+33323.92+1492.47+37922.66+397466.92+31398.59)</f>
        <v>1355987.53</v>
      </c>
      <c r="L108" s="21">
        <f>(29699.57+9678.36+1257.26+34331.75+29503.85+397466.92)</f>
        <v>501937.70999999996</v>
      </c>
      <c r="M108" s="23">
        <f>E108+F108+G108+H108+I108+J108+K108+L108</f>
        <v>2457735.1800000002</v>
      </c>
      <c r="O108" s="8"/>
      <c r="P108" s="8"/>
    </row>
    <row r="109" spans="1:16" ht="25.5" customHeight="1" x14ac:dyDescent="0.4">
      <c r="A109" s="45"/>
      <c r="B109" s="46" t="s">
        <v>113</v>
      </c>
      <c r="C109" s="47" t="s">
        <v>198</v>
      </c>
      <c r="D109" s="47" t="s">
        <v>292</v>
      </c>
      <c r="E109" s="21">
        <v>155510.20000000001</v>
      </c>
      <c r="F109" s="21"/>
      <c r="G109" s="25"/>
      <c r="H109" s="21"/>
      <c r="I109" s="21"/>
      <c r="J109" s="21"/>
      <c r="K109" s="21"/>
      <c r="L109" s="21"/>
      <c r="M109" s="23">
        <f>E109+F109+G109+H109+I109</f>
        <v>155510.20000000001</v>
      </c>
      <c r="O109" s="8"/>
      <c r="P109" s="8"/>
    </row>
    <row r="110" spans="1:16" ht="26.25" customHeight="1" x14ac:dyDescent="0.4">
      <c r="A110" s="45"/>
      <c r="B110" s="46" t="s">
        <v>114</v>
      </c>
      <c r="C110" s="47" t="s">
        <v>198</v>
      </c>
      <c r="D110" s="47" t="s">
        <v>292</v>
      </c>
      <c r="E110" s="21">
        <v>238266.12</v>
      </c>
      <c r="F110" s="21"/>
      <c r="G110" s="25"/>
      <c r="H110" s="21"/>
      <c r="I110" s="21"/>
      <c r="J110" s="21"/>
      <c r="K110" s="21"/>
      <c r="L110" s="21"/>
      <c r="M110" s="23">
        <f>E110+F110+G110+H110+I110</f>
        <v>238266.12</v>
      </c>
      <c r="O110" s="8"/>
      <c r="P110" s="8"/>
    </row>
    <row r="111" spans="1:16" ht="21.75" customHeight="1" x14ac:dyDescent="0.4">
      <c r="A111" s="45"/>
      <c r="B111" s="46" t="s">
        <v>115</v>
      </c>
      <c r="C111" s="47" t="s">
        <v>200</v>
      </c>
      <c r="D111" s="47" t="s">
        <v>292</v>
      </c>
      <c r="E111" s="21"/>
      <c r="F111" s="21"/>
      <c r="G111" s="25"/>
      <c r="H111" s="21"/>
      <c r="I111" s="21"/>
      <c r="J111" s="21"/>
      <c r="K111" s="21"/>
      <c r="L111" s="21"/>
      <c r="M111" s="23">
        <f>E111+F111+G111+H111+I111</f>
        <v>0</v>
      </c>
      <c r="O111" s="8"/>
      <c r="P111" s="8"/>
    </row>
    <row r="112" spans="1:16" ht="34.5" customHeight="1" x14ac:dyDescent="0.4">
      <c r="A112" s="45"/>
      <c r="B112" s="46" t="s">
        <v>116</v>
      </c>
      <c r="C112" s="47" t="s">
        <v>252</v>
      </c>
      <c r="D112" s="47" t="s">
        <v>292</v>
      </c>
      <c r="E112" s="21"/>
      <c r="F112" s="21">
        <v>0</v>
      </c>
      <c r="G112" s="25"/>
      <c r="H112" s="21"/>
      <c r="I112" s="21"/>
      <c r="J112" s="21"/>
      <c r="K112" s="21">
        <v>60300</v>
      </c>
      <c r="L112" s="21"/>
      <c r="M112" s="23">
        <f>E112+F112+G112+H112+I112+J112+K112</f>
        <v>60300</v>
      </c>
      <c r="O112" s="8"/>
      <c r="P112" s="8"/>
    </row>
    <row r="113" spans="1:16" ht="31.5" customHeight="1" x14ac:dyDescent="0.4">
      <c r="A113" s="45"/>
      <c r="B113" s="46" t="s">
        <v>117</v>
      </c>
      <c r="C113" s="47" t="s">
        <v>253</v>
      </c>
      <c r="D113" s="47" t="s">
        <v>292</v>
      </c>
      <c r="E113" s="21"/>
      <c r="F113" s="21">
        <v>0</v>
      </c>
      <c r="G113" s="25">
        <v>380675</v>
      </c>
      <c r="H113" s="21">
        <f>(138985+14800)</f>
        <v>153785</v>
      </c>
      <c r="I113" s="21">
        <v>14210</v>
      </c>
      <c r="J113" s="21">
        <f>(2200+81800)</f>
        <v>84000</v>
      </c>
      <c r="K113" s="21"/>
      <c r="L113" s="21"/>
      <c r="M113" s="23">
        <f>E113+F113+G113+H113+I113+J113</f>
        <v>632670</v>
      </c>
      <c r="O113" s="8"/>
      <c r="P113" s="8"/>
    </row>
    <row r="114" spans="1:16" ht="35.25" customHeight="1" x14ac:dyDescent="0.4">
      <c r="A114" s="45"/>
      <c r="B114" s="46" t="s">
        <v>118</v>
      </c>
      <c r="C114" s="47" t="s">
        <v>254</v>
      </c>
      <c r="D114" s="47" t="s">
        <v>292</v>
      </c>
      <c r="E114" s="21"/>
      <c r="F114" s="21">
        <v>0</v>
      </c>
      <c r="G114" s="25">
        <f>(23000+27500+115000+23000+  23000+23000+23000+23000+23000+23000)</f>
        <v>326500</v>
      </c>
      <c r="H114" s="21">
        <f>(23000+23000+23000+23000+23000)</f>
        <v>115000</v>
      </c>
      <c r="I114" s="21">
        <f>(23000+23000+23000+23000+6000+10400+23000)</f>
        <v>131400</v>
      </c>
      <c r="J114" s="21">
        <f>(6000+23000+23000)</f>
        <v>52000</v>
      </c>
      <c r="K114" s="21">
        <f>(23000+23000)</f>
        <v>46000</v>
      </c>
      <c r="L114" s="21">
        <v>23000</v>
      </c>
      <c r="M114" s="23">
        <f>E114+F114+G114+H114+I114+J114+K114+L114</f>
        <v>693900</v>
      </c>
      <c r="O114" s="8"/>
      <c r="P114" s="8"/>
    </row>
    <row r="115" spans="1:16" ht="27" customHeight="1" x14ac:dyDescent="0.4">
      <c r="A115" s="45"/>
      <c r="B115" s="46" t="s">
        <v>119</v>
      </c>
      <c r="C115" s="47" t="s">
        <v>255</v>
      </c>
      <c r="D115" s="47" t="s">
        <v>292</v>
      </c>
      <c r="E115" s="21">
        <v>1371191.2</v>
      </c>
      <c r="F115" s="21">
        <v>0</v>
      </c>
      <c r="G115" s="25"/>
      <c r="H115" s="21"/>
      <c r="I115" s="21"/>
      <c r="J115" s="21"/>
      <c r="K115" s="21"/>
      <c r="L115" s="21"/>
      <c r="M115" s="23">
        <f>E115+F115+G115+H115+I115</f>
        <v>1371191.2</v>
      </c>
      <c r="O115" s="8"/>
      <c r="P115" s="8"/>
    </row>
    <row r="116" spans="1:16" ht="26.25" customHeight="1" x14ac:dyDescent="0.4">
      <c r="A116" s="45"/>
      <c r="B116" s="46" t="s">
        <v>120</v>
      </c>
      <c r="C116" s="47" t="s">
        <v>198</v>
      </c>
      <c r="D116" s="47" t="s">
        <v>292</v>
      </c>
      <c r="E116" s="30">
        <v>84544</v>
      </c>
      <c r="F116" s="21">
        <v>0</v>
      </c>
      <c r="G116" s="25"/>
      <c r="H116" s="21"/>
      <c r="I116" s="21"/>
      <c r="J116" s="21"/>
      <c r="K116" s="21"/>
      <c r="L116" s="21"/>
      <c r="M116" s="23">
        <f>E116+F116+G116+H116+I116</f>
        <v>84544</v>
      </c>
      <c r="O116" s="8"/>
      <c r="P116" s="8"/>
    </row>
    <row r="117" spans="1:16" ht="27" customHeight="1" x14ac:dyDescent="0.4">
      <c r="A117" s="45"/>
      <c r="B117" s="46" t="s">
        <v>121</v>
      </c>
      <c r="C117" s="47" t="s">
        <v>198</v>
      </c>
      <c r="D117" s="47" t="s">
        <v>292</v>
      </c>
      <c r="E117" s="21">
        <v>3400.05</v>
      </c>
      <c r="F117" s="21">
        <v>0</v>
      </c>
      <c r="G117" s="25"/>
      <c r="H117" s="21"/>
      <c r="I117" s="21"/>
      <c r="J117" s="21"/>
      <c r="K117" s="21"/>
      <c r="L117" s="21"/>
      <c r="M117" s="23">
        <f>E117+F117+G117+H117+I117</f>
        <v>3400.05</v>
      </c>
      <c r="O117" s="8"/>
      <c r="P117" s="8"/>
    </row>
    <row r="118" spans="1:16" ht="25.5" customHeight="1" x14ac:dyDescent="0.4">
      <c r="A118" s="45"/>
      <c r="B118" s="46" t="s">
        <v>122</v>
      </c>
      <c r="C118" s="47" t="s">
        <v>256</v>
      </c>
      <c r="D118" s="47" t="s">
        <v>292</v>
      </c>
      <c r="E118" s="21">
        <v>0</v>
      </c>
      <c r="F118" s="21">
        <v>0</v>
      </c>
      <c r="G118" s="25"/>
      <c r="H118" s="21"/>
      <c r="I118" s="21"/>
      <c r="J118" s="21"/>
      <c r="K118" s="21"/>
      <c r="L118" s="21"/>
      <c r="M118" s="23">
        <f>E118+F118+G118+H118+I118</f>
        <v>0</v>
      </c>
      <c r="O118" s="8"/>
      <c r="P118" s="8"/>
    </row>
    <row r="119" spans="1:16" ht="25.5" customHeight="1" x14ac:dyDescent="0.4">
      <c r="A119" s="45"/>
      <c r="B119" s="46" t="s">
        <v>123</v>
      </c>
      <c r="C119" s="47" t="s">
        <v>228</v>
      </c>
      <c r="D119" s="47" t="s">
        <v>292</v>
      </c>
      <c r="E119" s="21">
        <v>188100</v>
      </c>
      <c r="F119" s="21">
        <v>0</v>
      </c>
      <c r="G119" s="25"/>
      <c r="H119" s="21"/>
      <c r="I119" s="21"/>
      <c r="J119" s="21"/>
      <c r="K119" s="21"/>
      <c r="L119" s="21"/>
      <c r="M119" s="23">
        <f>E119+F119+G119+H119+I119</f>
        <v>188100</v>
      </c>
      <c r="O119" s="8"/>
      <c r="P119" s="8"/>
    </row>
    <row r="120" spans="1:16" ht="23.25" customHeight="1" x14ac:dyDescent="0.4">
      <c r="A120" s="45"/>
      <c r="B120" s="46" t="s">
        <v>124</v>
      </c>
      <c r="C120" s="47" t="s">
        <v>198</v>
      </c>
      <c r="D120" s="47" t="s">
        <v>292</v>
      </c>
      <c r="E120" s="21">
        <v>0</v>
      </c>
      <c r="F120" s="21">
        <v>0</v>
      </c>
      <c r="G120" s="25"/>
      <c r="H120" s="21"/>
      <c r="I120" s="21"/>
      <c r="J120" s="21"/>
      <c r="K120" s="21"/>
      <c r="L120" s="21">
        <v>44500</v>
      </c>
      <c r="M120" s="23">
        <f>E120+F120+G120+H120+I120+K120+L120</f>
        <v>44500</v>
      </c>
      <c r="O120" s="8"/>
      <c r="P120" s="8"/>
    </row>
    <row r="121" spans="1:16" ht="25.5" customHeight="1" x14ac:dyDescent="0.4">
      <c r="A121" s="45"/>
      <c r="B121" s="46" t="s">
        <v>125</v>
      </c>
      <c r="C121" s="47" t="s">
        <v>257</v>
      </c>
      <c r="D121" s="47" t="s">
        <v>292</v>
      </c>
      <c r="E121" s="21">
        <v>0</v>
      </c>
      <c r="F121" s="21">
        <v>0</v>
      </c>
      <c r="G121" s="25"/>
      <c r="H121" s="21"/>
      <c r="I121" s="21"/>
      <c r="J121" s="21"/>
      <c r="K121" s="21"/>
      <c r="L121" s="21"/>
      <c r="M121" s="23">
        <f>E121+F121+G121+H121+I121</f>
        <v>0</v>
      </c>
      <c r="O121" s="8"/>
      <c r="P121" s="8"/>
    </row>
    <row r="122" spans="1:16" ht="23.25" customHeight="1" x14ac:dyDescent="0.4">
      <c r="A122" s="45"/>
      <c r="B122" s="46" t="s">
        <v>306</v>
      </c>
      <c r="C122" s="47" t="s">
        <v>228</v>
      </c>
      <c r="D122" s="47" t="s">
        <v>292</v>
      </c>
      <c r="E122" s="21"/>
      <c r="F122" s="21"/>
      <c r="G122" s="25"/>
      <c r="H122" s="21"/>
      <c r="I122" s="21"/>
      <c r="J122" s="21"/>
      <c r="K122" s="21"/>
      <c r="L122" s="21"/>
      <c r="M122" s="23">
        <f>E122+F122+G122+H122+I122+J122+K122</f>
        <v>0</v>
      </c>
      <c r="O122" s="8"/>
      <c r="P122" s="8"/>
    </row>
    <row r="123" spans="1:16" ht="22.5" customHeight="1" x14ac:dyDescent="0.4">
      <c r="A123" s="45"/>
      <c r="B123" s="46" t="s">
        <v>126</v>
      </c>
      <c r="C123" s="47" t="s">
        <v>198</v>
      </c>
      <c r="D123" s="47" t="s">
        <v>292</v>
      </c>
      <c r="E123" s="21">
        <v>0</v>
      </c>
      <c r="F123" s="21">
        <v>0</v>
      </c>
      <c r="G123" s="25">
        <v>82876</v>
      </c>
      <c r="H123" s="21"/>
      <c r="I123" s="21"/>
      <c r="J123" s="21"/>
      <c r="K123" s="21"/>
      <c r="L123" s="21"/>
      <c r="M123" s="23">
        <f>E123+F123+G123+H123+I123</f>
        <v>82876</v>
      </c>
      <c r="O123" s="8"/>
      <c r="P123" s="8"/>
    </row>
    <row r="124" spans="1:16" ht="28.5" customHeight="1" x14ac:dyDescent="0.4">
      <c r="A124" s="45"/>
      <c r="B124" s="46" t="s">
        <v>127</v>
      </c>
      <c r="C124" s="47" t="s">
        <v>258</v>
      </c>
      <c r="D124" s="48" t="s">
        <v>292</v>
      </c>
      <c r="E124" s="21">
        <v>0</v>
      </c>
      <c r="F124" s="21">
        <v>0</v>
      </c>
      <c r="G124" s="25"/>
      <c r="H124" s="21"/>
      <c r="I124" s="21"/>
      <c r="J124" s="21"/>
      <c r="K124" s="21"/>
      <c r="L124" s="21"/>
      <c r="M124" s="23">
        <f>E124+F124+G124+H124+I124</f>
        <v>0</v>
      </c>
      <c r="O124" s="8"/>
      <c r="P124" s="8"/>
    </row>
    <row r="125" spans="1:16" ht="33" customHeight="1" x14ac:dyDescent="0.4">
      <c r="A125" s="45"/>
      <c r="B125" s="46" t="s">
        <v>128</v>
      </c>
      <c r="C125" s="47" t="s">
        <v>256</v>
      </c>
      <c r="D125" s="47" t="s">
        <v>292</v>
      </c>
      <c r="E125" s="21">
        <v>2300461.92</v>
      </c>
      <c r="F125" s="21">
        <v>0</v>
      </c>
      <c r="G125" s="25"/>
      <c r="H125" s="21"/>
      <c r="I125" s="21"/>
      <c r="J125" s="21"/>
      <c r="K125" s="21"/>
      <c r="L125" s="21"/>
      <c r="M125" s="23">
        <f>E125+F125+G125+H125+I125</f>
        <v>2300461.92</v>
      </c>
      <c r="O125" s="8"/>
      <c r="P125" s="8"/>
    </row>
    <row r="126" spans="1:16" ht="29.25" customHeight="1" x14ac:dyDescent="0.4">
      <c r="A126" s="45"/>
      <c r="B126" s="46" t="s">
        <v>129</v>
      </c>
      <c r="C126" s="47" t="s">
        <v>259</v>
      </c>
      <c r="D126" s="47" t="s">
        <v>292</v>
      </c>
      <c r="E126" s="21">
        <v>28020</v>
      </c>
      <c r="F126" s="21">
        <v>0</v>
      </c>
      <c r="G126" s="25"/>
      <c r="H126" s="21"/>
      <c r="I126" s="21"/>
      <c r="J126" s="21"/>
      <c r="K126" s="21"/>
      <c r="L126" s="21"/>
      <c r="M126" s="23">
        <f>E126+F126+G126+H126+I126</f>
        <v>28020</v>
      </c>
      <c r="O126" s="8"/>
      <c r="P126" s="8"/>
    </row>
    <row r="127" spans="1:16" ht="24.75" customHeight="1" x14ac:dyDescent="0.4">
      <c r="A127" s="45"/>
      <c r="B127" s="46" t="s">
        <v>130</v>
      </c>
      <c r="C127" s="47"/>
      <c r="D127" s="47" t="s">
        <v>292</v>
      </c>
      <c r="E127" s="21">
        <v>0</v>
      </c>
      <c r="F127" s="21">
        <v>0</v>
      </c>
      <c r="G127" s="25">
        <v>154698</v>
      </c>
      <c r="H127" s="21"/>
      <c r="I127" s="21"/>
      <c r="J127" s="21"/>
      <c r="K127" s="21"/>
      <c r="L127" s="21"/>
      <c r="M127" s="23">
        <f>E127+F127+G127+H127+I127</f>
        <v>154698</v>
      </c>
      <c r="O127" s="8"/>
      <c r="P127" s="8"/>
    </row>
    <row r="128" spans="1:16" ht="27" customHeight="1" x14ac:dyDescent="0.4">
      <c r="A128" s="45">
        <v>18</v>
      </c>
      <c r="B128" s="46" t="s">
        <v>131</v>
      </c>
      <c r="C128" s="47" t="s">
        <v>260</v>
      </c>
      <c r="D128" s="47" t="s">
        <v>292</v>
      </c>
      <c r="E128" s="21">
        <v>130224.8</v>
      </c>
      <c r="F128" s="21">
        <v>0</v>
      </c>
      <c r="G128" s="25">
        <v>276647</v>
      </c>
      <c r="H128" s="21">
        <v>154698</v>
      </c>
      <c r="I128" s="21">
        <v>162486</v>
      </c>
      <c r="J128" s="21">
        <v>175112</v>
      </c>
      <c r="K128" s="21">
        <f>(6608+187502)</f>
        <v>194110</v>
      </c>
      <c r="L128" s="21"/>
      <c r="M128" s="23">
        <f>E128+F128+G128+H128+I128+J128+K128</f>
        <v>1093277.8</v>
      </c>
      <c r="O128" s="8"/>
      <c r="P128" s="8"/>
    </row>
    <row r="129" spans="1:16" ht="26.25" customHeight="1" x14ac:dyDescent="0.4">
      <c r="A129" s="45">
        <v>19</v>
      </c>
      <c r="B129" s="46" t="s">
        <v>132</v>
      </c>
      <c r="C129" s="47" t="s">
        <v>196</v>
      </c>
      <c r="D129" s="47" t="s">
        <v>292</v>
      </c>
      <c r="E129" s="21">
        <v>327450</v>
      </c>
      <c r="F129" s="21">
        <v>0</v>
      </c>
      <c r="G129" s="25"/>
      <c r="H129" s="21"/>
      <c r="I129" s="21"/>
      <c r="J129" s="21"/>
      <c r="K129" s="21"/>
      <c r="L129" s="21"/>
      <c r="M129" s="23">
        <f>E129+F129+G129+H129+I129</f>
        <v>327450</v>
      </c>
      <c r="O129" s="8"/>
      <c r="P129" s="8"/>
    </row>
    <row r="130" spans="1:16" ht="23.25" customHeight="1" x14ac:dyDescent="0.4">
      <c r="A130" s="45">
        <v>20</v>
      </c>
      <c r="B130" s="46" t="s">
        <v>133</v>
      </c>
      <c r="C130" s="47" t="s">
        <v>196</v>
      </c>
      <c r="D130" s="47" t="s">
        <v>292</v>
      </c>
      <c r="E130" s="21">
        <v>362225</v>
      </c>
      <c r="F130" s="21">
        <v>0</v>
      </c>
      <c r="G130" s="25"/>
      <c r="H130" s="21"/>
      <c r="I130" s="21"/>
      <c r="J130" s="21"/>
      <c r="K130" s="21"/>
      <c r="L130" s="21"/>
      <c r="M130" s="23">
        <f>E130+F130+G130+H130+I130</f>
        <v>362225</v>
      </c>
      <c r="O130" s="8"/>
      <c r="P130" s="8"/>
    </row>
    <row r="131" spans="1:16" ht="26.25" customHeight="1" x14ac:dyDescent="0.4">
      <c r="A131" s="45">
        <v>21</v>
      </c>
      <c r="B131" s="46" t="s">
        <v>134</v>
      </c>
      <c r="C131" s="47" t="s">
        <v>261</v>
      </c>
      <c r="D131" s="47" t="s">
        <v>292</v>
      </c>
      <c r="E131" s="21">
        <v>1108434.75</v>
      </c>
      <c r="F131" s="21">
        <v>0</v>
      </c>
      <c r="G131" s="25"/>
      <c r="H131" s="21"/>
      <c r="I131" s="21"/>
      <c r="J131" s="21"/>
      <c r="K131" s="21"/>
      <c r="L131" s="21"/>
      <c r="M131" s="23">
        <f>E131+F131+G131+H131+I131</f>
        <v>1108434.75</v>
      </c>
      <c r="O131" s="8"/>
      <c r="P131" s="8"/>
    </row>
    <row r="132" spans="1:16" ht="26.25" customHeight="1" x14ac:dyDescent="0.4">
      <c r="A132" s="45"/>
      <c r="B132" s="46" t="s">
        <v>135</v>
      </c>
      <c r="C132" s="47" t="s">
        <v>212</v>
      </c>
      <c r="D132" s="47" t="s">
        <v>293</v>
      </c>
      <c r="E132" s="21">
        <v>4372121.7</v>
      </c>
      <c r="F132" s="21">
        <v>0</v>
      </c>
      <c r="G132" s="25"/>
      <c r="H132" s="21"/>
      <c r="I132" s="21"/>
      <c r="J132" s="21"/>
      <c r="K132" s="21"/>
      <c r="L132" s="21"/>
      <c r="M132" s="23">
        <f>E132+F132+G132+H132+I132</f>
        <v>4372121.7</v>
      </c>
      <c r="O132" s="8"/>
      <c r="P132" s="8"/>
    </row>
    <row r="133" spans="1:16" ht="26.25" customHeight="1" x14ac:dyDescent="0.4">
      <c r="A133" s="45"/>
      <c r="B133" s="46" t="s">
        <v>136</v>
      </c>
      <c r="C133" s="47" t="s">
        <v>198</v>
      </c>
      <c r="D133" s="47" t="s">
        <v>292</v>
      </c>
      <c r="E133" s="21">
        <v>0</v>
      </c>
      <c r="F133" s="21">
        <v>0</v>
      </c>
      <c r="G133" s="25">
        <v>265428.7</v>
      </c>
      <c r="H133" s="21">
        <f>(162500+50000)</f>
        <v>212500</v>
      </c>
      <c r="I133" s="21">
        <f>(39000+189250)</f>
        <v>228250</v>
      </c>
      <c r="J133" s="28">
        <v>41923.25</v>
      </c>
      <c r="K133" s="28">
        <v>108090.52</v>
      </c>
      <c r="L133" s="28"/>
      <c r="M133" s="23">
        <f>E133+F133+G133+H133+I133+J133+K133</f>
        <v>856192.47</v>
      </c>
      <c r="O133" s="8"/>
      <c r="P133" s="8"/>
    </row>
    <row r="134" spans="1:16" ht="26.25" customHeight="1" x14ac:dyDescent="0.4">
      <c r="A134" s="45"/>
      <c r="B134" s="46" t="s">
        <v>137</v>
      </c>
      <c r="C134" s="47" t="s">
        <v>229</v>
      </c>
      <c r="D134" s="47" t="s">
        <v>292</v>
      </c>
      <c r="E134" s="21"/>
      <c r="F134" s="21"/>
      <c r="G134" s="25">
        <v>12129.5</v>
      </c>
      <c r="H134" s="21"/>
      <c r="I134" s="21"/>
      <c r="J134" s="21"/>
      <c r="K134" s="21"/>
      <c r="L134" s="21"/>
      <c r="M134" s="23">
        <f>E134+F134+G134+H134+I134</f>
        <v>12129.5</v>
      </c>
      <c r="O134" s="8"/>
      <c r="P134" s="8"/>
    </row>
    <row r="135" spans="1:16" ht="26.25" customHeight="1" x14ac:dyDescent="0.4">
      <c r="A135" s="45"/>
      <c r="B135" s="46" t="s">
        <v>138</v>
      </c>
      <c r="C135" s="47" t="s">
        <v>262</v>
      </c>
      <c r="D135" s="47" t="s">
        <v>292</v>
      </c>
      <c r="E135" s="21">
        <v>0</v>
      </c>
      <c r="F135" s="21">
        <v>0</v>
      </c>
      <c r="G135" s="25"/>
      <c r="H135" s="21"/>
      <c r="I135" s="21"/>
      <c r="J135" s="21"/>
      <c r="K135" s="21"/>
      <c r="L135" s="21">
        <v>560523.6</v>
      </c>
      <c r="M135" s="23">
        <f>E135+F135+G135+H135+I135+J135+K135+L135</f>
        <v>560523.6</v>
      </c>
      <c r="O135" s="8"/>
      <c r="P135" s="8"/>
    </row>
    <row r="136" spans="1:16" ht="26.25" customHeight="1" x14ac:dyDescent="0.4">
      <c r="A136" s="45"/>
      <c r="B136" s="46" t="s">
        <v>139</v>
      </c>
      <c r="C136" s="47" t="s">
        <v>263</v>
      </c>
      <c r="D136" s="47" t="s">
        <v>292</v>
      </c>
      <c r="E136" s="21">
        <v>0</v>
      </c>
      <c r="F136" s="21">
        <v>0</v>
      </c>
      <c r="G136" s="25"/>
      <c r="H136" s="21">
        <v>21904.15</v>
      </c>
      <c r="I136" s="21"/>
      <c r="J136" s="21"/>
      <c r="K136" s="21">
        <v>55489.5</v>
      </c>
      <c r="L136" s="21"/>
      <c r="M136" s="23">
        <f>E136+F136+G136+H136+I136+J136+K136</f>
        <v>77393.649999999994</v>
      </c>
      <c r="O136" s="8"/>
      <c r="P136" s="8"/>
    </row>
    <row r="137" spans="1:16" ht="26.25" customHeight="1" x14ac:dyDescent="0.4">
      <c r="A137" s="45"/>
      <c r="B137" s="51" t="s">
        <v>140</v>
      </c>
      <c r="C137" s="48" t="s">
        <v>204</v>
      </c>
      <c r="D137" s="47" t="s">
        <v>292</v>
      </c>
      <c r="E137" s="25">
        <v>1659000</v>
      </c>
      <c r="F137" s="28">
        <v>0</v>
      </c>
      <c r="G137" s="25">
        <v>22000</v>
      </c>
      <c r="H137" s="21"/>
      <c r="I137" s="21"/>
      <c r="J137" s="21"/>
      <c r="K137" s="21"/>
      <c r="L137" s="21"/>
      <c r="M137" s="23">
        <f>E137+F137+G137+H137+I137</f>
        <v>1681000</v>
      </c>
      <c r="O137" s="8"/>
      <c r="P137" s="8"/>
    </row>
    <row r="138" spans="1:16" ht="26.25" customHeight="1" x14ac:dyDescent="0.4">
      <c r="A138" s="45"/>
      <c r="B138" s="46" t="s">
        <v>141</v>
      </c>
      <c r="C138" s="47" t="s">
        <v>197</v>
      </c>
      <c r="D138" s="47" t="s">
        <v>292</v>
      </c>
      <c r="E138" s="21">
        <v>0</v>
      </c>
      <c r="F138" s="21">
        <v>0</v>
      </c>
      <c r="G138" s="25"/>
      <c r="H138" s="21"/>
      <c r="I138" s="21"/>
      <c r="J138" s="21"/>
      <c r="K138" s="21"/>
      <c r="L138" s="21"/>
      <c r="M138" s="23">
        <f>E138+F138+G138+H138+I138</f>
        <v>0</v>
      </c>
      <c r="O138" s="8"/>
      <c r="P138" s="8"/>
    </row>
    <row r="139" spans="1:16" ht="26.25" customHeight="1" x14ac:dyDescent="0.4">
      <c r="A139" s="45"/>
      <c r="B139" s="46" t="s">
        <v>142</v>
      </c>
      <c r="C139" s="47" t="s">
        <v>205</v>
      </c>
      <c r="D139" s="47" t="s">
        <v>292</v>
      </c>
      <c r="E139" s="21">
        <v>0</v>
      </c>
      <c r="F139" s="21">
        <v>0</v>
      </c>
      <c r="G139" s="25"/>
      <c r="H139" s="21"/>
      <c r="I139" s="21"/>
      <c r="J139" s="21">
        <v>512582.79</v>
      </c>
      <c r="K139" s="21">
        <f>(317660.7+314584.22)</f>
        <v>632244.91999999993</v>
      </c>
      <c r="L139" s="21">
        <v>654521.14</v>
      </c>
      <c r="M139" s="23">
        <f>E139+F139+G139+H139+I139+J139+K139+L139</f>
        <v>1799348.85</v>
      </c>
      <c r="O139" s="8"/>
      <c r="P139" s="8"/>
    </row>
    <row r="140" spans="1:16" ht="26.25" customHeight="1" x14ac:dyDescent="0.4">
      <c r="A140" s="45"/>
      <c r="B140" s="46" t="s">
        <v>143</v>
      </c>
      <c r="C140" s="47" t="s">
        <v>198</v>
      </c>
      <c r="D140" s="47" t="s">
        <v>292</v>
      </c>
      <c r="E140" s="21">
        <v>0</v>
      </c>
      <c r="F140" s="21">
        <v>0</v>
      </c>
      <c r="G140" s="25"/>
      <c r="H140" s="21"/>
      <c r="I140" s="21"/>
      <c r="J140" s="21"/>
      <c r="K140" s="21"/>
      <c r="L140" s="21"/>
      <c r="M140" s="23">
        <f>E140+F140+G140+H140+I140</f>
        <v>0</v>
      </c>
      <c r="O140" s="8"/>
      <c r="P140" s="8"/>
    </row>
    <row r="141" spans="1:16" ht="26.25" customHeight="1" x14ac:dyDescent="0.4">
      <c r="A141" s="45"/>
      <c r="B141" s="46" t="s">
        <v>144</v>
      </c>
      <c r="C141" s="47" t="s">
        <v>198</v>
      </c>
      <c r="D141" s="47" t="s">
        <v>292</v>
      </c>
      <c r="E141" s="21">
        <v>0</v>
      </c>
      <c r="F141" s="21">
        <v>0</v>
      </c>
      <c r="G141" s="25"/>
      <c r="H141" s="21"/>
      <c r="I141" s="21">
        <f>(83336.32+131822.24)</f>
        <v>215158.56</v>
      </c>
      <c r="J141" s="21">
        <f>(174805.2+137096.8+112383.2+52000)</f>
        <v>476285.2</v>
      </c>
      <c r="K141" s="21">
        <f>(113163.2+146531.86+202338.8+74050)</f>
        <v>536083.86</v>
      </c>
      <c r="L141" s="21">
        <f>(140913.8+43563.2)</f>
        <v>184477</v>
      </c>
      <c r="M141" s="23">
        <f>E141+F141+G141+H141+I141+J141+K141+L141</f>
        <v>1412004.62</v>
      </c>
      <c r="O141" s="8"/>
      <c r="P141" s="8"/>
    </row>
    <row r="142" spans="1:16" ht="26.25" customHeight="1" x14ac:dyDescent="0.4">
      <c r="A142" s="45"/>
      <c r="B142" s="46" t="s">
        <v>145</v>
      </c>
      <c r="C142" s="47" t="s">
        <v>230</v>
      </c>
      <c r="D142" s="47" t="s">
        <v>292</v>
      </c>
      <c r="E142" s="21">
        <v>141141</v>
      </c>
      <c r="F142" s="21"/>
      <c r="G142" s="25"/>
      <c r="H142" s="21"/>
      <c r="I142" s="21"/>
      <c r="J142" s="21"/>
      <c r="K142" s="21"/>
      <c r="L142" s="21"/>
      <c r="M142" s="23">
        <f>E142+F142+G142+H142+I142</f>
        <v>141141</v>
      </c>
      <c r="O142" s="8"/>
      <c r="P142" s="8"/>
    </row>
    <row r="143" spans="1:16" ht="26.25" customHeight="1" x14ac:dyDescent="0.4">
      <c r="A143" s="45"/>
      <c r="B143" s="46" t="s">
        <v>146</v>
      </c>
      <c r="C143" s="47" t="s">
        <v>198</v>
      </c>
      <c r="D143" s="47" t="s">
        <v>292</v>
      </c>
      <c r="E143" s="21">
        <v>136930.20000000001</v>
      </c>
      <c r="F143" s="21">
        <v>0</v>
      </c>
      <c r="G143" s="25"/>
      <c r="H143" s="21"/>
      <c r="I143" s="21"/>
      <c r="J143" s="21"/>
      <c r="K143" s="21"/>
      <c r="L143" s="21"/>
      <c r="M143" s="23">
        <f>E143+F143+G143+H143+I143</f>
        <v>136930.20000000001</v>
      </c>
      <c r="O143" s="8"/>
      <c r="P143" s="8"/>
    </row>
    <row r="144" spans="1:16" ht="26.25" customHeight="1" x14ac:dyDescent="0.4">
      <c r="A144" s="45"/>
      <c r="B144" s="46" t="s">
        <v>147</v>
      </c>
      <c r="C144" s="47" t="s">
        <v>260</v>
      </c>
      <c r="D144" s="47" t="s">
        <v>292</v>
      </c>
      <c r="E144" s="21">
        <v>0</v>
      </c>
      <c r="F144" s="21">
        <v>0</v>
      </c>
      <c r="G144" s="25">
        <v>9900</v>
      </c>
      <c r="H144" s="21"/>
      <c r="I144" s="21"/>
      <c r="J144" s="21"/>
      <c r="K144" s="21"/>
      <c r="L144" s="21"/>
      <c r="M144" s="23">
        <f>E144+F144+G144+H144+I144+J144</f>
        <v>9900</v>
      </c>
      <c r="O144" s="8"/>
      <c r="P144" s="8"/>
    </row>
    <row r="145" spans="1:16" ht="26.25" customHeight="1" x14ac:dyDescent="0.4">
      <c r="A145" s="45"/>
      <c r="B145" s="46" t="s">
        <v>148</v>
      </c>
      <c r="C145" s="47" t="s">
        <v>198</v>
      </c>
      <c r="D145" s="47" t="s">
        <v>292</v>
      </c>
      <c r="E145" s="21">
        <v>0</v>
      </c>
      <c r="F145" s="21">
        <v>0</v>
      </c>
      <c r="G145" s="25"/>
      <c r="H145" s="21"/>
      <c r="I145" s="21"/>
      <c r="J145" s="21">
        <f>(25000+25000)</f>
        <v>50000</v>
      </c>
      <c r="K145" s="21"/>
      <c r="L145" s="21"/>
      <c r="M145" s="23">
        <f>E145+F145+G145+H145+I145+J145</f>
        <v>50000</v>
      </c>
      <c r="O145" s="8"/>
      <c r="P145" s="8"/>
    </row>
    <row r="146" spans="1:16" ht="26.25" customHeight="1" x14ac:dyDescent="0.4">
      <c r="A146" s="45"/>
      <c r="B146" s="46" t="s">
        <v>149</v>
      </c>
      <c r="C146" s="47" t="s">
        <v>264</v>
      </c>
      <c r="D146" s="47" t="s">
        <v>292</v>
      </c>
      <c r="E146" s="21"/>
      <c r="F146" s="21">
        <v>0</v>
      </c>
      <c r="G146" s="25"/>
      <c r="H146" s="28"/>
      <c r="I146" s="21"/>
      <c r="J146" s="21"/>
      <c r="K146" s="21"/>
      <c r="L146" s="21"/>
      <c r="M146" s="23">
        <f>E146+F146+G146+H146+I146</f>
        <v>0</v>
      </c>
      <c r="O146" s="8"/>
      <c r="P146" s="8"/>
    </row>
    <row r="147" spans="1:16" ht="26.25" customHeight="1" x14ac:dyDescent="0.4">
      <c r="A147" s="45"/>
      <c r="B147" s="46" t="s">
        <v>150</v>
      </c>
      <c r="C147" s="47" t="s">
        <v>265</v>
      </c>
      <c r="D147" s="47" t="s">
        <v>292</v>
      </c>
      <c r="E147" s="21">
        <v>0</v>
      </c>
      <c r="F147" s="21">
        <v>0</v>
      </c>
      <c r="G147" s="25">
        <v>47200</v>
      </c>
      <c r="H147" s="21">
        <v>23600</v>
      </c>
      <c r="I147" s="21">
        <v>23600</v>
      </c>
      <c r="J147" s="21">
        <v>23600</v>
      </c>
      <c r="K147" s="21"/>
      <c r="L147" s="21">
        <v>23600</v>
      </c>
      <c r="M147" s="23">
        <f>E147+F147+G147+H147+I147+J147+K147+L147</f>
        <v>141600</v>
      </c>
      <c r="O147" s="8"/>
      <c r="P147" s="8"/>
    </row>
    <row r="148" spans="1:16" ht="26.25" customHeight="1" x14ac:dyDescent="0.4">
      <c r="A148" s="45" t="s">
        <v>296</v>
      </c>
      <c r="B148" s="46" t="s">
        <v>151</v>
      </c>
      <c r="C148" s="47" t="s">
        <v>220</v>
      </c>
      <c r="D148" s="47" t="s">
        <v>292</v>
      </c>
      <c r="E148" s="21">
        <v>0</v>
      </c>
      <c r="F148" s="21">
        <v>0</v>
      </c>
      <c r="G148" s="21">
        <v>135640</v>
      </c>
      <c r="H148" s="21"/>
      <c r="I148" s="21"/>
      <c r="J148" s="21"/>
      <c r="K148" s="21"/>
      <c r="L148" s="21"/>
      <c r="M148" s="23">
        <f t="shared" ref="M148:M153" si="5">E148+F148+G148+H148+I148</f>
        <v>135640</v>
      </c>
      <c r="O148" s="8"/>
      <c r="P148" s="8"/>
    </row>
    <row r="149" spans="1:16" ht="26.25" customHeight="1" x14ac:dyDescent="0.4">
      <c r="A149" s="45"/>
      <c r="B149" s="46" t="s">
        <v>152</v>
      </c>
      <c r="C149" s="47" t="s">
        <v>198</v>
      </c>
      <c r="D149" s="47" t="s">
        <v>292</v>
      </c>
      <c r="E149" s="21">
        <v>0</v>
      </c>
      <c r="F149" s="21">
        <v>0</v>
      </c>
      <c r="G149" s="25">
        <v>21000</v>
      </c>
      <c r="H149" s="21"/>
      <c r="I149" s="21"/>
      <c r="J149" s="21"/>
      <c r="K149" s="21"/>
      <c r="L149" s="21"/>
      <c r="M149" s="23">
        <f t="shared" si="5"/>
        <v>21000</v>
      </c>
      <c r="O149" s="8"/>
      <c r="P149" s="8"/>
    </row>
    <row r="150" spans="1:16" ht="26.25" customHeight="1" x14ac:dyDescent="0.4">
      <c r="A150" s="45"/>
      <c r="B150" s="46" t="s">
        <v>153</v>
      </c>
      <c r="C150" s="47" t="s">
        <v>266</v>
      </c>
      <c r="D150" s="47" t="s">
        <v>292</v>
      </c>
      <c r="E150" s="21"/>
      <c r="F150" s="21"/>
      <c r="G150" s="25"/>
      <c r="H150" s="21"/>
      <c r="I150" s="21"/>
      <c r="J150" s="21"/>
      <c r="K150" s="21"/>
      <c r="L150" s="21"/>
      <c r="M150" s="23">
        <f t="shared" si="5"/>
        <v>0</v>
      </c>
      <c r="O150" s="8"/>
      <c r="P150" s="8"/>
    </row>
    <row r="151" spans="1:16" ht="26.25" customHeight="1" x14ac:dyDescent="0.4">
      <c r="A151" s="45"/>
      <c r="B151" s="46" t="s">
        <v>154</v>
      </c>
      <c r="C151" s="47" t="s">
        <v>198</v>
      </c>
      <c r="D151" s="47" t="s">
        <v>292</v>
      </c>
      <c r="E151" s="21">
        <v>0</v>
      </c>
      <c r="F151" s="21"/>
      <c r="G151" s="25"/>
      <c r="H151" s="21"/>
      <c r="I151" s="21"/>
      <c r="J151" s="21"/>
      <c r="K151" s="21"/>
      <c r="L151" s="21"/>
      <c r="M151" s="23">
        <f t="shared" si="5"/>
        <v>0</v>
      </c>
      <c r="O151" s="8"/>
      <c r="P151" s="8"/>
    </row>
    <row r="152" spans="1:16" ht="26.25" customHeight="1" x14ac:dyDescent="0.4">
      <c r="A152" s="45"/>
      <c r="B152" s="46" t="s">
        <v>155</v>
      </c>
      <c r="C152" s="47" t="s">
        <v>198</v>
      </c>
      <c r="D152" s="47" t="s">
        <v>292</v>
      </c>
      <c r="E152" s="21">
        <v>33250</v>
      </c>
      <c r="F152" s="21"/>
      <c r="G152" s="25"/>
      <c r="H152" s="21"/>
      <c r="I152" s="21"/>
      <c r="J152" s="21"/>
      <c r="K152" s="21"/>
      <c r="L152" s="21"/>
      <c r="M152" s="23">
        <f t="shared" si="5"/>
        <v>33250</v>
      </c>
      <c r="O152" s="8"/>
      <c r="P152" s="8"/>
    </row>
    <row r="153" spans="1:16" ht="26.25" customHeight="1" x14ac:dyDescent="0.4">
      <c r="A153" s="45"/>
      <c r="B153" s="46" t="s">
        <v>156</v>
      </c>
      <c r="C153" s="47" t="s">
        <v>267</v>
      </c>
      <c r="D153" s="47" t="s">
        <v>292</v>
      </c>
      <c r="E153" s="21">
        <v>82270</v>
      </c>
      <c r="F153" s="21"/>
      <c r="G153" s="25"/>
      <c r="H153" s="21"/>
      <c r="I153" s="21"/>
      <c r="J153" s="21"/>
      <c r="K153" s="21"/>
      <c r="L153" s="21"/>
      <c r="M153" s="23">
        <f t="shared" si="5"/>
        <v>82270</v>
      </c>
      <c r="O153" s="8"/>
      <c r="P153" s="8"/>
    </row>
    <row r="154" spans="1:16" ht="26.25" customHeight="1" x14ac:dyDescent="0.4">
      <c r="A154" s="45"/>
      <c r="B154" s="46" t="s">
        <v>157</v>
      </c>
      <c r="C154" s="47" t="s">
        <v>198</v>
      </c>
      <c r="D154" s="47" t="s">
        <v>292</v>
      </c>
      <c r="E154" s="21"/>
      <c r="F154" s="21">
        <v>0</v>
      </c>
      <c r="G154" s="25"/>
      <c r="H154" s="21"/>
      <c r="I154" s="21"/>
      <c r="J154" s="21"/>
      <c r="K154" s="21">
        <f>(28700+86100)</f>
        <v>114800</v>
      </c>
      <c r="L154" s="21"/>
      <c r="M154" s="23">
        <f>E154+F154+G154+H154+I154+J154+K154</f>
        <v>114800</v>
      </c>
      <c r="O154" s="8"/>
      <c r="P154" s="8"/>
    </row>
    <row r="155" spans="1:16" ht="26.25" customHeight="1" x14ac:dyDescent="0.4">
      <c r="A155" s="45"/>
      <c r="B155" s="51" t="s">
        <v>158</v>
      </c>
      <c r="C155" s="48" t="s">
        <v>268</v>
      </c>
      <c r="D155" s="47" t="s">
        <v>292</v>
      </c>
      <c r="E155" s="31"/>
      <c r="F155" s="31">
        <v>0</v>
      </c>
      <c r="G155" s="25"/>
      <c r="H155" s="31"/>
      <c r="I155" s="31"/>
      <c r="J155" s="21"/>
      <c r="K155" s="21"/>
      <c r="L155" s="21"/>
      <c r="M155" s="23">
        <f t="shared" ref="M155:M160" si="6">E155+F155+G155+H155+I155</f>
        <v>0</v>
      </c>
      <c r="O155" s="8"/>
      <c r="P155" s="8"/>
    </row>
    <row r="156" spans="1:16" ht="26.25" customHeight="1" x14ac:dyDescent="0.4">
      <c r="A156" s="45"/>
      <c r="B156" s="46" t="s">
        <v>159</v>
      </c>
      <c r="C156" s="47" t="s">
        <v>269</v>
      </c>
      <c r="D156" s="47" t="s">
        <v>292</v>
      </c>
      <c r="E156" s="21">
        <v>50504</v>
      </c>
      <c r="F156" s="21">
        <v>0</v>
      </c>
      <c r="G156" s="25"/>
      <c r="H156" s="21"/>
      <c r="I156" s="21"/>
      <c r="J156" s="21"/>
      <c r="K156" s="21"/>
      <c r="L156" s="21"/>
      <c r="M156" s="23">
        <f t="shared" si="6"/>
        <v>50504</v>
      </c>
      <c r="O156" s="8"/>
      <c r="P156" s="8"/>
    </row>
    <row r="157" spans="1:16" ht="26.25" customHeight="1" x14ac:dyDescent="0.4">
      <c r="A157" s="45"/>
      <c r="B157" s="46" t="s">
        <v>160</v>
      </c>
      <c r="C157" s="47" t="s">
        <v>270</v>
      </c>
      <c r="D157" s="47" t="s">
        <v>292</v>
      </c>
      <c r="E157" s="30">
        <v>2596</v>
      </c>
      <c r="F157" s="21">
        <v>0</v>
      </c>
      <c r="G157" s="25"/>
      <c r="H157" s="21"/>
      <c r="I157" s="21"/>
      <c r="J157" s="21"/>
      <c r="K157" s="21"/>
      <c r="L157" s="21"/>
      <c r="M157" s="23">
        <f t="shared" si="6"/>
        <v>2596</v>
      </c>
      <c r="O157" s="8"/>
      <c r="P157" s="8"/>
    </row>
    <row r="158" spans="1:16" ht="26.25" customHeight="1" x14ac:dyDescent="0.4">
      <c r="A158" s="45"/>
      <c r="B158" s="46" t="s">
        <v>161</v>
      </c>
      <c r="C158" s="47"/>
      <c r="D158" s="47" t="s">
        <v>292</v>
      </c>
      <c r="E158" s="21">
        <v>0</v>
      </c>
      <c r="F158" s="21">
        <v>0</v>
      </c>
      <c r="G158" s="25"/>
      <c r="H158" s="21"/>
      <c r="I158" s="21"/>
      <c r="J158" s="21"/>
      <c r="K158" s="21"/>
      <c r="L158" s="21"/>
      <c r="M158" s="23">
        <f t="shared" si="6"/>
        <v>0</v>
      </c>
      <c r="O158" s="8"/>
      <c r="P158" s="8"/>
    </row>
    <row r="159" spans="1:16" ht="26.25" customHeight="1" x14ac:dyDescent="0.4">
      <c r="A159" s="45"/>
      <c r="B159" s="46" t="s">
        <v>162</v>
      </c>
      <c r="C159" s="47" t="s">
        <v>210</v>
      </c>
      <c r="D159" s="47" t="s">
        <v>292</v>
      </c>
      <c r="E159" s="21">
        <v>0</v>
      </c>
      <c r="F159" s="21">
        <v>0</v>
      </c>
      <c r="G159" s="25">
        <v>11800</v>
      </c>
      <c r="H159" s="21"/>
      <c r="I159" s="21"/>
      <c r="J159" s="21"/>
      <c r="K159" s="21"/>
      <c r="L159" s="21"/>
      <c r="M159" s="23">
        <f t="shared" si="6"/>
        <v>11800</v>
      </c>
      <c r="O159" s="8"/>
      <c r="P159" s="8"/>
    </row>
    <row r="160" spans="1:16" ht="26.25" customHeight="1" x14ac:dyDescent="0.4">
      <c r="A160" s="45"/>
      <c r="B160" s="46" t="s">
        <v>163</v>
      </c>
      <c r="C160" s="47" t="s">
        <v>267</v>
      </c>
      <c r="D160" s="47" t="s">
        <v>292</v>
      </c>
      <c r="E160" s="30">
        <v>738935.46</v>
      </c>
      <c r="F160" s="21">
        <v>0</v>
      </c>
      <c r="G160" s="25"/>
      <c r="H160" s="21"/>
      <c r="I160" s="21"/>
      <c r="J160" s="21"/>
      <c r="K160" s="21"/>
      <c r="L160" s="21"/>
      <c r="M160" s="23">
        <f t="shared" si="6"/>
        <v>738935.46</v>
      </c>
      <c r="O160" s="8"/>
      <c r="P160" s="8"/>
    </row>
    <row r="161" spans="1:16" ht="26.25" customHeight="1" x14ac:dyDescent="0.4">
      <c r="A161" s="45"/>
      <c r="B161" s="46" t="s">
        <v>164</v>
      </c>
      <c r="C161" s="47" t="s">
        <v>271</v>
      </c>
      <c r="D161" s="47" t="s">
        <v>292</v>
      </c>
      <c r="E161" s="30"/>
      <c r="F161" s="21"/>
      <c r="G161" s="25"/>
      <c r="H161" s="21"/>
      <c r="I161" s="21"/>
      <c r="J161" s="21"/>
      <c r="K161" s="21"/>
      <c r="L161" s="21"/>
      <c r="M161" s="23">
        <f>E161+F161+G161+H161+I161+J161</f>
        <v>0</v>
      </c>
      <c r="O161" s="8"/>
      <c r="P161" s="8"/>
    </row>
    <row r="162" spans="1:16" ht="26.25" customHeight="1" x14ac:dyDescent="0.4">
      <c r="A162" s="45"/>
      <c r="B162" s="46" t="s">
        <v>165</v>
      </c>
      <c r="C162" s="47" t="s">
        <v>272</v>
      </c>
      <c r="D162" s="47" t="s">
        <v>292</v>
      </c>
      <c r="E162" s="21"/>
      <c r="F162" s="21">
        <v>0</v>
      </c>
      <c r="G162" s="25"/>
      <c r="H162" s="21"/>
      <c r="I162" s="21"/>
      <c r="J162" s="21"/>
      <c r="K162" s="21">
        <v>101058.5</v>
      </c>
      <c r="L162" s="21"/>
      <c r="M162" s="23">
        <f>E162+F162+G162+H162+I162+J162+K162</f>
        <v>101058.5</v>
      </c>
      <c r="O162" s="8"/>
      <c r="P162" s="8"/>
    </row>
    <row r="163" spans="1:16" ht="26.25" customHeight="1" x14ac:dyDescent="0.4">
      <c r="A163" s="45"/>
      <c r="B163" s="46" t="s">
        <v>166</v>
      </c>
      <c r="C163" s="47" t="s">
        <v>198</v>
      </c>
      <c r="D163" s="47" t="s">
        <v>292</v>
      </c>
      <c r="E163" s="21"/>
      <c r="F163" s="21">
        <v>0</v>
      </c>
      <c r="G163" s="25"/>
      <c r="H163" s="21"/>
      <c r="I163" s="21"/>
      <c r="J163" s="21"/>
      <c r="K163" s="21"/>
      <c r="L163" s="21">
        <v>530408.53</v>
      </c>
      <c r="M163" s="23">
        <f>E163+F163+G163+H163+I163+K163+L163</f>
        <v>530408.53</v>
      </c>
      <c r="O163" s="8"/>
      <c r="P163" s="8"/>
    </row>
    <row r="164" spans="1:16" ht="26.25" customHeight="1" x14ac:dyDescent="0.4">
      <c r="A164" s="45"/>
      <c r="B164" s="46" t="s">
        <v>167</v>
      </c>
      <c r="C164" s="47" t="s">
        <v>196</v>
      </c>
      <c r="D164" s="47" t="s">
        <v>292</v>
      </c>
      <c r="E164" s="21"/>
      <c r="F164" s="21">
        <v>0</v>
      </c>
      <c r="G164" s="25">
        <v>238763.8</v>
      </c>
      <c r="H164" s="21">
        <f>(162659.83+161584+159788.8)</f>
        <v>484032.62999999995</v>
      </c>
      <c r="I164" s="21">
        <v>53011.5</v>
      </c>
      <c r="J164" s="21"/>
      <c r="K164" s="21"/>
      <c r="L164" s="21"/>
      <c r="M164" s="23">
        <f t="shared" ref="M164:M175" si="7">E164+F164+G164+H164+I164</f>
        <v>775807.92999999993</v>
      </c>
      <c r="O164" s="8"/>
      <c r="P164" s="8"/>
    </row>
    <row r="165" spans="1:16" ht="26.25" customHeight="1" x14ac:dyDescent="0.4">
      <c r="A165" s="45"/>
      <c r="B165" s="46" t="s">
        <v>168</v>
      </c>
      <c r="C165" s="47" t="s">
        <v>273</v>
      </c>
      <c r="D165" s="47" t="s">
        <v>292</v>
      </c>
      <c r="E165" s="21">
        <v>247094</v>
      </c>
      <c r="F165" s="21"/>
      <c r="G165" s="25"/>
      <c r="H165" s="21"/>
      <c r="I165" s="21"/>
      <c r="J165" s="21"/>
      <c r="K165" s="21"/>
      <c r="L165" s="21"/>
      <c r="M165" s="23">
        <f t="shared" si="7"/>
        <v>247094</v>
      </c>
      <c r="O165" s="8"/>
      <c r="P165" s="8"/>
    </row>
    <row r="166" spans="1:16" ht="26.25" customHeight="1" x14ac:dyDescent="0.4">
      <c r="A166" s="45"/>
      <c r="B166" s="46" t="s">
        <v>169</v>
      </c>
      <c r="C166" s="47" t="s">
        <v>217</v>
      </c>
      <c r="D166" s="47" t="s">
        <v>292</v>
      </c>
      <c r="E166" s="21">
        <v>0</v>
      </c>
      <c r="F166" s="21"/>
      <c r="G166" s="25">
        <v>169790</v>
      </c>
      <c r="H166" s="21"/>
      <c r="I166" s="21">
        <v>6200</v>
      </c>
      <c r="J166" s="21"/>
      <c r="K166" s="28">
        <f>(79600+6800)</f>
        <v>86400</v>
      </c>
      <c r="L166" s="21"/>
      <c r="M166" s="23">
        <f>E166+F166+G166+H166+I166+J166+K166+L166</f>
        <v>262390</v>
      </c>
      <c r="O166" s="8"/>
      <c r="P166" s="8"/>
    </row>
    <row r="167" spans="1:16" ht="26.25" customHeight="1" x14ac:dyDescent="0.4">
      <c r="A167" s="45"/>
      <c r="B167" s="46" t="s">
        <v>170</v>
      </c>
      <c r="C167" s="47" t="s">
        <v>210</v>
      </c>
      <c r="D167" s="47" t="s">
        <v>292</v>
      </c>
      <c r="E167" s="21">
        <v>0</v>
      </c>
      <c r="F167" s="21">
        <v>0</v>
      </c>
      <c r="G167" s="25"/>
      <c r="H167" s="21"/>
      <c r="I167" s="21"/>
      <c r="J167" s="21"/>
      <c r="K167" s="21"/>
      <c r="L167" s="21"/>
      <c r="M167" s="23">
        <f t="shared" si="7"/>
        <v>0</v>
      </c>
      <c r="O167" s="8"/>
      <c r="P167" s="8"/>
    </row>
    <row r="168" spans="1:16" ht="26.25" customHeight="1" x14ac:dyDescent="0.4">
      <c r="A168" s="45"/>
      <c r="B168" s="46" t="s">
        <v>171</v>
      </c>
      <c r="C168" s="47" t="s">
        <v>274</v>
      </c>
      <c r="D168" s="47" t="s">
        <v>292</v>
      </c>
      <c r="E168" s="21">
        <v>0</v>
      </c>
      <c r="F168" s="21">
        <v>0</v>
      </c>
      <c r="G168" s="25"/>
      <c r="H168" s="21"/>
      <c r="I168" s="21"/>
      <c r="J168" s="21"/>
      <c r="K168" s="21"/>
      <c r="L168" s="21"/>
      <c r="M168" s="23">
        <f t="shared" si="7"/>
        <v>0</v>
      </c>
      <c r="O168" s="8"/>
      <c r="P168" s="8"/>
    </row>
    <row r="169" spans="1:16" ht="26.25" customHeight="1" x14ac:dyDescent="0.4">
      <c r="A169" s="45"/>
      <c r="B169" s="46" t="s">
        <v>172</v>
      </c>
      <c r="C169" s="47"/>
      <c r="D169" s="47" t="s">
        <v>292</v>
      </c>
      <c r="E169" s="21">
        <v>0</v>
      </c>
      <c r="F169" s="21">
        <v>0</v>
      </c>
      <c r="G169" s="25"/>
      <c r="H169" s="21"/>
      <c r="I169" s="21"/>
      <c r="J169" s="21"/>
      <c r="K169" s="21"/>
      <c r="L169" s="21"/>
      <c r="M169" s="23">
        <f t="shared" si="7"/>
        <v>0</v>
      </c>
      <c r="O169" s="8"/>
      <c r="P169" s="8"/>
    </row>
    <row r="170" spans="1:16" ht="26.25" customHeight="1" x14ac:dyDescent="0.4">
      <c r="A170" s="45"/>
      <c r="B170" s="46" t="s">
        <v>173</v>
      </c>
      <c r="C170" s="47" t="s">
        <v>275</v>
      </c>
      <c r="D170" s="47" t="s">
        <v>292</v>
      </c>
      <c r="E170" s="21">
        <v>0</v>
      </c>
      <c r="F170" s="21">
        <v>0</v>
      </c>
      <c r="G170" s="25"/>
      <c r="H170" s="21"/>
      <c r="I170" s="21"/>
      <c r="J170" s="21"/>
      <c r="K170" s="21"/>
      <c r="L170" s="21"/>
      <c r="M170" s="23">
        <f t="shared" si="7"/>
        <v>0</v>
      </c>
      <c r="O170" s="8"/>
      <c r="P170" s="8"/>
    </row>
    <row r="171" spans="1:16" ht="26.25" customHeight="1" x14ac:dyDescent="0.4">
      <c r="A171" s="45"/>
      <c r="B171" s="46" t="s">
        <v>174</v>
      </c>
      <c r="C171" s="47" t="s">
        <v>276</v>
      </c>
      <c r="D171" s="47" t="s">
        <v>292</v>
      </c>
      <c r="E171" s="21">
        <v>0</v>
      </c>
      <c r="F171" s="21">
        <v>0</v>
      </c>
      <c r="G171" s="25"/>
      <c r="H171" s="21"/>
      <c r="I171" s="21"/>
      <c r="J171" s="21"/>
      <c r="K171" s="21"/>
      <c r="L171" s="21"/>
      <c r="M171" s="23">
        <f t="shared" si="7"/>
        <v>0</v>
      </c>
      <c r="O171" s="8"/>
      <c r="P171" s="8"/>
    </row>
    <row r="172" spans="1:16" ht="26.25" customHeight="1" x14ac:dyDescent="0.4">
      <c r="A172" s="45"/>
      <c r="B172" s="46" t="s">
        <v>175</v>
      </c>
      <c r="C172" s="47" t="s">
        <v>277</v>
      </c>
      <c r="D172" s="47" t="s">
        <v>292</v>
      </c>
      <c r="E172" s="21">
        <v>0</v>
      </c>
      <c r="F172" s="21">
        <v>18585</v>
      </c>
      <c r="G172" s="25">
        <v>55424</v>
      </c>
      <c r="H172" s="21"/>
      <c r="I172" s="21"/>
      <c r="J172" s="21"/>
      <c r="K172" s="21"/>
      <c r="L172" s="21"/>
      <c r="M172" s="23">
        <f t="shared" si="7"/>
        <v>74009</v>
      </c>
      <c r="O172" s="8"/>
      <c r="P172" s="8"/>
    </row>
    <row r="173" spans="1:16" ht="26.25" customHeight="1" x14ac:dyDescent="0.4">
      <c r="A173" s="45"/>
      <c r="B173" s="46" t="s">
        <v>176</v>
      </c>
      <c r="C173" s="47" t="s">
        <v>278</v>
      </c>
      <c r="D173" s="47" t="s">
        <v>292</v>
      </c>
      <c r="E173" s="21">
        <v>0</v>
      </c>
      <c r="F173" s="21">
        <v>0</v>
      </c>
      <c r="G173" s="25"/>
      <c r="H173" s="21"/>
      <c r="I173" s="21"/>
      <c r="J173" s="21"/>
      <c r="K173" s="21"/>
      <c r="L173" s="21"/>
      <c r="M173" s="23">
        <f t="shared" si="7"/>
        <v>0</v>
      </c>
      <c r="O173" s="8"/>
      <c r="P173" s="8"/>
    </row>
    <row r="174" spans="1:16" ht="26.25" customHeight="1" x14ac:dyDescent="0.4">
      <c r="A174" s="45"/>
      <c r="B174" s="46" t="s">
        <v>177</v>
      </c>
      <c r="C174" s="47" t="s">
        <v>279</v>
      </c>
      <c r="D174" s="47" t="s">
        <v>292</v>
      </c>
      <c r="E174" s="21">
        <v>0</v>
      </c>
      <c r="F174" s="21"/>
      <c r="G174" s="25"/>
      <c r="H174" s="21"/>
      <c r="I174" s="21"/>
      <c r="J174" s="21"/>
      <c r="K174" s="21"/>
      <c r="L174" s="21"/>
      <c r="M174" s="23">
        <f t="shared" si="7"/>
        <v>0</v>
      </c>
      <c r="O174" s="8"/>
      <c r="P174" s="8"/>
    </row>
    <row r="175" spans="1:16" ht="26.25" customHeight="1" x14ac:dyDescent="0.4">
      <c r="A175" s="45"/>
      <c r="B175" s="46" t="s">
        <v>178</v>
      </c>
      <c r="C175" s="47" t="s">
        <v>280</v>
      </c>
      <c r="D175" s="47" t="s">
        <v>292</v>
      </c>
      <c r="E175" s="21"/>
      <c r="F175" s="21">
        <v>0</v>
      </c>
      <c r="G175" s="25"/>
      <c r="H175" s="21"/>
      <c r="I175" s="21"/>
      <c r="J175" s="21"/>
      <c r="K175" s="21"/>
      <c r="L175" s="21"/>
      <c r="M175" s="23">
        <f t="shared" si="7"/>
        <v>0</v>
      </c>
      <c r="O175" s="8"/>
      <c r="P175" s="8"/>
    </row>
    <row r="176" spans="1:16" ht="26.25" customHeight="1" x14ac:dyDescent="0.4">
      <c r="A176" s="45"/>
      <c r="B176" s="46" t="s">
        <v>179</v>
      </c>
      <c r="C176" s="47" t="s">
        <v>198</v>
      </c>
      <c r="D176" s="47" t="s">
        <v>292</v>
      </c>
      <c r="E176" s="21">
        <v>0</v>
      </c>
      <c r="F176" s="21">
        <v>0</v>
      </c>
      <c r="G176" s="25"/>
      <c r="H176" s="21"/>
      <c r="I176" s="21"/>
      <c r="J176" s="21">
        <v>19757.07</v>
      </c>
      <c r="K176" s="21"/>
      <c r="L176" s="21"/>
      <c r="M176" s="23">
        <f>E176+F176+G176+H176+I176+J176+K176</f>
        <v>19757.07</v>
      </c>
      <c r="O176" s="8"/>
      <c r="P176" s="8"/>
    </row>
    <row r="177" spans="1:22" ht="26.25" customHeight="1" x14ac:dyDescent="0.4">
      <c r="A177" s="45"/>
      <c r="B177" s="46" t="s">
        <v>180</v>
      </c>
      <c r="C177" s="47" t="s">
        <v>281</v>
      </c>
      <c r="D177" s="47" t="s">
        <v>292</v>
      </c>
      <c r="E177" s="21">
        <v>0</v>
      </c>
      <c r="F177" s="21">
        <v>0</v>
      </c>
      <c r="G177" s="25"/>
      <c r="H177" s="21"/>
      <c r="I177" s="21"/>
      <c r="J177" s="21"/>
      <c r="K177" s="21"/>
      <c r="L177" s="21">
        <v>38376</v>
      </c>
      <c r="M177" s="23">
        <f>E177+F177+G177+H177+I177+J177+K177+L177</f>
        <v>38376</v>
      </c>
      <c r="O177" s="8"/>
      <c r="P177" s="8"/>
    </row>
    <row r="178" spans="1:22" ht="26.25" customHeight="1" x14ac:dyDescent="0.4">
      <c r="A178" s="45"/>
      <c r="B178" s="46" t="s">
        <v>181</v>
      </c>
      <c r="C178" s="47" t="s">
        <v>282</v>
      </c>
      <c r="D178" s="47" t="s">
        <v>292</v>
      </c>
      <c r="E178" s="21">
        <v>0</v>
      </c>
      <c r="F178" s="21">
        <v>0</v>
      </c>
      <c r="G178" s="25"/>
      <c r="H178" s="21"/>
      <c r="I178" s="21"/>
      <c r="J178" s="21"/>
      <c r="K178" s="21"/>
      <c r="L178" s="21"/>
      <c r="M178" s="23">
        <f>E178+F178+G178+H178+I178</f>
        <v>0</v>
      </c>
      <c r="O178" s="8"/>
      <c r="P178" s="8"/>
    </row>
    <row r="179" spans="1:22" ht="26.25" customHeight="1" x14ac:dyDescent="0.4">
      <c r="A179" s="45"/>
      <c r="B179" s="46" t="s">
        <v>182</v>
      </c>
      <c r="C179" s="47" t="s">
        <v>283</v>
      </c>
      <c r="D179" s="47" t="s">
        <v>292</v>
      </c>
      <c r="E179" s="21">
        <v>0</v>
      </c>
      <c r="F179" s="21">
        <v>0</v>
      </c>
      <c r="G179" s="25"/>
      <c r="H179" s="21"/>
      <c r="I179" s="21"/>
      <c r="J179" s="21"/>
      <c r="K179" s="21"/>
      <c r="L179" s="21"/>
      <c r="M179" s="23">
        <f>E179+F179+G179+H179+I179</f>
        <v>0</v>
      </c>
      <c r="O179" s="8"/>
      <c r="P179" s="8"/>
    </row>
    <row r="180" spans="1:22" ht="26.25" customHeight="1" x14ac:dyDescent="0.4">
      <c r="A180" s="45"/>
      <c r="B180" s="46" t="s">
        <v>183</v>
      </c>
      <c r="C180" s="47" t="s">
        <v>284</v>
      </c>
      <c r="D180" s="47" t="s">
        <v>292</v>
      </c>
      <c r="E180" s="21">
        <v>0</v>
      </c>
      <c r="F180" s="21">
        <v>0</v>
      </c>
      <c r="G180" s="25"/>
      <c r="H180" s="21"/>
      <c r="I180" s="21"/>
      <c r="J180" s="21"/>
      <c r="K180" s="21"/>
      <c r="L180" s="21"/>
      <c r="M180" s="23">
        <f>E180+F180+G180+H180+I180+J180</f>
        <v>0</v>
      </c>
      <c r="O180" s="8"/>
      <c r="P180" s="8"/>
    </row>
    <row r="181" spans="1:22" ht="26.25" customHeight="1" x14ac:dyDescent="0.4">
      <c r="A181" s="45"/>
      <c r="B181" s="46" t="s">
        <v>184</v>
      </c>
      <c r="C181" s="47" t="s">
        <v>285</v>
      </c>
      <c r="D181" s="47" t="s">
        <v>292</v>
      </c>
      <c r="E181" s="21"/>
      <c r="F181" s="21"/>
      <c r="G181" s="25"/>
      <c r="H181" s="21">
        <v>93720</v>
      </c>
      <c r="I181" s="21"/>
      <c r="J181" s="21"/>
      <c r="K181" s="21"/>
      <c r="L181" s="21"/>
      <c r="M181" s="23">
        <f>E181+F181+G181+H181+I181</f>
        <v>93720</v>
      </c>
      <c r="O181" s="8"/>
      <c r="P181" s="8"/>
    </row>
    <row r="182" spans="1:22" ht="26.25" customHeight="1" x14ac:dyDescent="0.4">
      <c r="A182" s="45"/>
      <c r="B182" s="46" t="s">
        <v>185</v>
      </c>
      <c r="C182" s="47" t="s">
        <v>286</v>
      </c>
      <c r="D182" s="47" t="s">
        <v>292</v>
      </c>
      <c r="E182" s="21">
        <v>0</v>
      </c>
      <c r="F182" s="21">
        <v>0</v>
      </c>
      <c r="G182" s="25">
        <v>360170</v>
      </c>
      <c r="H182" s="21"/>
      <c r="I182" s="21"/>
      <c r="J182" s="21"/>
      <c r="K182" s="21"/>
      <c r="L182" s="21"/>
      <c r="M182" s="23">
        <f>E182+F182+G182+H182+I182</f>
        <v>360170</v>
      </c>
      <c r="O182" s="8"/>
      <c r="P182" s="8"/>
    </row>
    <row r="183" spans="1:22" ht="26.25" customHeight="1" x14ac:dyDescent="0.4">
      <c r="A183" s="45"/>
      <c r="B183" s="46" t="s">
        <v>186</v>
      </c>
      <c r="C183" s="47" t="s">
        <v>287</v>
      </c>
      <c r="D183" s="47" t="s">
        <v>292</v>
      </c>
      <c r="E183" s="21">
        <v>0</v>
      </c>
      <c r="F183" s="21">
        <v>0</v>
      </c>
      <c r="G183" s="25">
        <v>962370</v>
      </c>
      <c r="H183" s="21">
        <f>(157730+202440)</f>
        <v>360170</v>
      </c>
      <c r="I183" s="21">
        <v>59400</v>
      </c>
      <c r="J183" s="21">
        <f>(114914+48852+199475+84904)</f>
        <v>448145</v>
      </c>
      <c r="K183" s="21">
        <f>(60624+129000+189667.5+47613)</f>
        <v>426904.5</v>
      </c>
      <c r="L183" s="21">
        <f>(79800+92930)</f>
        <v>172730</v>
      </c>
      <c r="M183" s="23">
        <f>E183+F183+G183+H183+I183+J183+K183+L183</f>
        <v>2429719.5</v>
      </c>
      <c r="O183" s="8"/>
      <c r="P183" s="8"/>
    </row>
    <row r="184" spans="1:22" ht="26.25" customHeight="1" x14ac:dyDescent="0.4">
      <c r="A184" s="45"/>
      <c r="B184" s="46" t="s">
        <v>187</v>
      </c>
      <c r="C184" s="47" t="s">
        <v>288</v>
      </c>
      <c r="D184" s="47" t="s">
        <v>292</v>
      </c>
      <c r="E184" s="21">
        <v>0</v>
      </c>
      <c r="F184" s="32"/>
      <c r="G184" s="25"/>
      <c r="H184" s="21">
        <f>(60298+321898.1)</f>
        <v>382196.1</v>
      </c>
      <c r="I184" s="21"/>
      <c r="J184" s="21">
        <v>105256</v>
      </c>
      <c r="K184" s="21"/>
      <c r="L184" s="21"/>
      <c r="M184" s="23">
        <f>E184+F184+G184+H184+I184+J184+K184</f>
        <v>487452.1</v>
      </c>
      <c r="O184" s="8"/>
      <c r="P184" s="8"/>
    </row>
    <row r="185" spans="1:22" ht="26.25" customHeight="1" x14ac:dyDescent="0.4">
      <c r="A185" s="45"/>
      <c r="B185" s="46" t="s">
        <v>188</v>
      </c>
      <c r="C185" s="47" t="s">
        <v>289</v>
      </c>
      <c r="D185" s="47" t="s">
        <v>292</v>
      </c>
      <c r="E185" s="21"/>
      <c r="F185" s="32"/>
      <c r="G185" s="25"/>
      <c r="H185" s="21"/>
      <c r="I185" s="21"/>
      <c r="J185" s="21">
        <v>41600</v>
      </c>
      <c r="K185" s="21"/>
      <c r="L185" s="21"/>
      <c r="M185" s="23">
        <f>E185+F185+G185+H185+I185+J185+K185</f>
        <v>41600</v>
      </c>
      <c r="O185" s="8"/>
      <c r="P185" s="8"/>
    </row>
    <row r="186" spans="1:22" ht="29.25" customHeight="1" x14ac:dyDescent="0.4">
      <c r="A186" s="45"/>
      <c r="B186" s="46" t="s">
        <v>308</v>
      </c>
      <c r="C186" s="47" t="s">
        <v>309</v>
      </c>
      <c r="D186" s="47" t="s">
        <v>293</v>
      </c>
      <c r="E186" s="21"/>
      <c r="F186" s="32"/>
      <c r="G186" s="25"/>
      <c r="H186" s="21"/>
      <c r="I186" s="21"/>
      <c r="J186" s="21"/>
      <c r="K186" s="21"/>
      <c r="L186" s="21">
        <v>159418</v>
      </c>
      <c r="M186" s="23">
        <f>(J186+K186+L186)</f>
        <v>159418</v>
      </c>
      <c r="O186" s="8"/>
      <c r="P186" s="8"/>
    </row>
    <row r="187" spans="1:22" ht="36" customHeight="1" x14ac:dyDescent="0.4">
      <c r="A187" s="45"/>
      <c r="B187" s="46" t="s">
        <v>295</v>
      </c>
      <c r="C187" s="47" t="s">
        <v>297</v>
      </c>
      <c r="D187" s="47" t="s">
        <v>292</v>
      </c>
      <c r="E187" s="21"/>
      <c r="F187" s="32"/>
      <c r="G187" s="25"/>
      <c r="H187" s="21"/>
      <c r="I187" s="21"/>
      <c r="J187" s="21"/>
      <c r="K187" s="21">
        <f>(20800+20800)</f>
        <v>41600</v>
      </c>
      <c r="L187" s="21"/>
      <c r="M187" s="23">
        <f>E187+F187+G187+H187+I187+J187+K187</f>
        <v>41600</v>
      </c>
      <c r="O187" s="8"/>
      <c r="P187" s="8"/>
    </row>
    <row r="188" spans="1:22" ht="35.25" customHeight="1" x14ac:dyDescent="0.4">
      <c r="A188" s="45">
        <v>22</v>
      </c>
      <c r="B188" s="46" t="s">
        <v>189</v>
      </c>
      <c r="C188" s="47" t="s">
        <v>198</v>
      </c>
      <c r="D188" s="47" t="s">
        <v>292</v>
      </c>
      <c r="E188" s="21"/>
      <c r="F188" s="32"/>
      <c r="G188" s="25">
        <v>18000</v>
      </c>
      <c r="H188" s="21"/>
      <c r="I188" s="21"/>
      <c r="J188" s="21">
        <v>97500</v>
      </c>
      <c r="K188" s="21">
        <v>85000</v>
      </c>
      <c r="L188" s="21"/>
      <c r="M188" s="23">
        <f>E188+F188+G188+H188+I188+J188+K188</f>
        <v>200500</v>
      </c>
      <c r="O188" s="8"/>
      <c r="P188" s="8"/>
    </row>
    <row r="189" spans="1:22" ht="26.25" customHeight="1" x14ac:dyDescent="0.4">
      <c r="A189" s="45">
        <v>23</v>
      </c>
      <c r="B189" s="46" t="s">
        <v>190</v>
      </c>
      <c r="C189" s="47" t="s">
        <v>290</v>
      </c>
      <c r="D189" s="47" t="s">
        <v>293</v>
      </c>
      <c r="E189" s="21"/>
      <c r="F189" s="32"/>
      <c r="G189" s="25"/>
      <c r="H189" s="21">
        <v>175613.44</v>
      </c>
      <c r="I189" s="21"/>
      <c r="J189" s="21"/>
      <c r="K189" s="21"/>
      <c r="L189" s="21"/>
      <c r="M189" s="23">
        <f>E189+F189+G189+H189+I189+J18+K189</f>
        <v>175613.44</v>
      </c>
      <c r="O189" s="8"/>
      <c r="P189" s="8"/>
    </row>
    <row r="190" spans="1:22" ht="22.5" customHeight="1" x14ac:dyDescent="0.4">
      <c r="A190" s="45">
        <v>24</v>
      </c>
      <c r="B190" s="46" t="s">
        <v>191</v>
      </c>
      <c r="C190" s="47" t="s">
        <v>291</v>
      </c>
      <c r="D190" s="47" t="s">
        <v>293</v>
      </c>
      <c r="E190" s="21"/>
      <c r="F190" s="32"/>
      <c r="G190" s="25"/>
      <c r="H190" s="21"/>
      <c r="I190" s="21"/>
      <c r="J190" s="21"/>
      <c r="K190" s="21"/>
      <c r="L190" s="21"/>
      <c r="M190" s="23">
        <f>E190+F190+G190+H190+I190</f>
        <v>0</v>
      </c>
      <c r="O190" s="8"/>
      <c r="P190" s="8"/>
    </row>
    <row r="191" spans="1:22" ht="22.5" customHeight="1" x14ac:dyDescent="0.4">
      <c r="A191" s="45"/>
      <c r="B191" s="46" t="s">
        <v>304</v>
      </c>
      <c r="C191" s="53" t="s">
        <v>305</v>
      </c>
      <c r="D191" s="47" t="s">
        <v>293</v>
      </c>
      <c r="E191" s="21"/>
      <c r="F191" s="33"/>
      <c r="G191" s="34"/>
      <c r="H191" s="35"/>
      <c r="I191" s="35"/>
      <c r="J191" s="35"/>
      <c r="K191" s="35"/>
      <c r="L191" s="35">
        <v>21530</v>
      </c>
      <c r="M191" s="23">
        <f>E191+F191+G191+H191+I191+J191+K191+L191</f>
        <v>21530</v>
      </c>
      <c r="O191" s="8"/>
      <c r="P191" s="8"/>
      <c r="V191">
        <v>21530</v>
      </c>
    </row>
    <row r="192" spans="1:22" ht="29.25" customHeight="1" x14ac:dyDescent="0.4">
      <c r="A192" s="45">
        <v>28</v>
      </c>
      <c r="B192" s="54" t="s">
        <v>302</v>
      </c>
      <c r="C192" s="53" t="s">
        <v>303</v>
      </c>
      <c r="D192" s="47" t="s">
        <v>293</v>
      </c>
      <c r="E192" s="36"/>
      <c r="F192" s="34"/>
      <c r="G192" s="34">
        <v>135700</v>
      </c>
      <c r="H192" s="34"/>
      <c r="I192" s="34"/>
      <c r="J192" s="34"/>
      <c r="K192" s="34"/>
      <c r="L192" s="34"/>
      <c r="M192" s="23">
        <f>E192+F192+G192+H192+I192+J192+K192</f>
        <v>135700</v>
      </c>
      <c r="O192" s="8"/>
      <c r="P192" s="8"/>
    </row>
    <row r="193" spans="1:16" ht="28.5" customHeight="1" x14ac:dyDescent="0.4">
      <c r="A193" s="45">
        <v>31</v>
      </c>
      <c r="B193" s="55"/>
      <c r="C193" s="56"/>
      <c r="D193" s="48"/>
      <c r="E193" s="36"/>
      <c r="F193" s="34"/>
      <c r="G193" s="34"/>
      <c r="H193" s="34"/>
      <c r="I193" s="34"/>
      <c r="J193" s="34"/>
      <c r="K193" s="34"/>
      <c r="L193" s="34"/>
      <c r="M193" s="29">
        <f>E193+F193+G193+H193+I193</f>
        <v>0</v>
      </c>
      <c r="O193" s="8"/>
      <c r="P193" s="8"/>
    </row>
    <row r="194" spans="1:16" ht="26.25" x14ac:dyDescent="0.4">
      <c r="A194" s="59" t="s">
        <v>7</v>
      </c>
      <c r="B194" s="60"/>
      <c r="C194" s="60"/>
      <c r="D194" s="60"/>
      <c r="E194" s="37">
        <f>SUM(E8:E193)</f>
        <v>21056787.140000001</v>
      </c>
      <c r="F194" s="38">
        <f t="shared" ref="F194:J194" si="8">SUM(F8:F193)</f>
        <v>643041.14</v>
      </c>
      <c r="G194" s="39">
        <f t="shared" si="8"/>
        <v>6923128.7999999998</v>
      </c>
      <c r="H194" s="40">
        <f t="shared" si="8"/>
        <v>3378889.9699999997</v>
      </c>
      <c r="I194" s="40">
        <f t="shared" si="8"/>
        <v>1480349.2000000002</v>
      </c>
      <c r="J194" s="40">
        <f t="shared" si="8"/>
        <v>5253181.2300000004</v>
      </c>
      <c r="K194" s="40">
        <f>SUM(K8:K193)</f>
        <v>6193877.7999999998</v>
      </c>
      <c r="L194" s="40">
        <f>SUM(L8:L193)</f>
        <v>5045069.6800000006</v>
      </c>
      <c r="M194" s="41">
        <f>(E194+F194+G194+H194+I194+J194+K194+L194)</f>
        <v>49974324.960000001</v>
      </c>
    </row>
    <row r="195" spans="1:16" x14ac:dyDescent="0.25">
      <c r="M195" s="20"/>
    </row>
    <row r="196" spans="1:16" ht="28.5" x14ac:dyDescent="0.45">
      <c r="A196" s="7"/>
      <c r="B196" s="8"/>
    </row>
    <row r="198" spans="1:16" ht="21" x14ac:dyDescent="0.35">
      <c r="B198" s="15"/>
      <c r="C198" s="58"/>
      <c r="D198" s="58"/>
      <c r="F198" t="s">
        <v>300</v>
      </c>
      <c r="G198" s="14" t="s">
        <v>301</v>
      </c>
    </row>
    <row r="199" spans="1:16" ht="21" x14ac:dyDescent="0.35">
      <c r="A199" s="14"/>
      <c r="B199" s="14"/>
      <c r="C199" s="14"/>
      <c r="D199" s="14"/>
      <c r="E199" s="14"/>
      <c r="F199" s="14"/>
      <c r="G199" s="14"/>
      <c r="H199" s="14"/>
    </row>
    <row r="200" spans="1:16" ht="21" x14ac:dyDescent="0.35">
      <c r="A200" s="14"/>
      <c r="B200" s="19"/>
      <c r="C200" s="57"/>
      <c r="D200" s="57"/>
      <c r="E200" s="14" t="s">
        <v>298</v>
      </c>
      <c r="F200" s="14" t="s">
        <v>299</v>
      </c>
      <c r="G200" s="58"/>
      <c r="H200" s="58"/>
      <c r="I200" s="58"/>
      <c r="J200" s="58"/>
    </row>
    <row r="201" spans="1:16" ht="3" customHeight="1" x14ac:dyDescent="0.25">
      <c r="A201" s="61"/>
      <c r="B201" s="61"/>
      <c r="C201" s="61"/>
      <c r="D201" s="61"/>
      <c r="E201" s="61"/>
      <c r="F201" s="61"/>
      <c r="G201" s="61"/>
      <c r="H201" s="61"/>
      <c r="I201" s="9"/>
      <c r="J201" s="9"/>
      <c r="K201" s="9"/>
      <c r="L201" s="9"/>
    </row>
    <row r="202" spans="1:16" ht="13.5" customHeight="1" x14ac:dyDescent="0.25">
      <c r="A202" s="61"/>
      <c r="B202" s="61"/>
      <c r="C202" s="61"/>
      <c r="D202" s="61"/>
      <c r="E202" s="61"/>
      <c r="F202" s="61"/>
      <c r="G202" s="61"/>
      <c r="H202" s="61"/>
      <c r="I202" s="9"/>
      <c r="J202" s="9"/>
      <c r="K202" s="9"/>
      <c r="L202" s="9"/>
    </row>
    <row r="203" spans="1:16" ht="21.75" customHeight="1" x14ac:dyDescent="0.35">
      <c r="A203" s="16"/>
      <c r="B203" s="17"/>
      <c r="C203" s="62"/>
      <c r="D203" s="62"/>
      <c r="E203" s="63"/>
      <c r="F203" s="63"/>
      <c r="G203" s="63"/>
      <c r="H203" s="63"/>
      <c r="I203" s="1"/>
      <c r="J203" s="1"/>
      <c r="K203" s="1"/>
      <c r="L203" s="1"/>
    </row>
    <row r="204" spans="1:16" ht="21" x14ac:dyDescent="0.35">
      <c r="A204" s="16"/>
      <c r="B204" s="18"/>
      <c r="C204" s="57"/>
      <c r="D204" s="57"/>
      <c r="E204" s="58"/>
      <c r="F204" s="58"/>
      <c r="G204" s="58"/>
      <c r="H204" s="58"/>
      <c r="I204" s="10"/>
      <c r="J204" s="10"/>
      <c r="K204" s="10"/>
      <c r="L204" s="10"/>
    </row>
    <row r="206" spans="1:16" x14ac:dyDescent="0.25">
      <c r="B206" t="s">
        <v>298</v>
      </c>
    </row>
  </sheetData>
  <mergeCells count="9">
    <mergeCell ref="C204:D204"/>
    <mergeCell ref="E204:H204"/>
    <mergeCell ref="A194:D194"/>
    <mergeCell ref="C200:D200"/>
    <mergeCell ref="A201:H202"/>
    <mergeCell ref="C203:D203"/>
    <mergeCell ref="E203:H203"/>
    <mergeCell ref="C198:D198"/>
    <mergeCell ref="G200:J200"/>
  </mergeCells>
  <pageMargins left="0.70866141732283472" right="0.70866141732283472" top="0.74803149606299213" bottom="0.74803149606299213" header="0.31496062992125984" footer="0.31496062992125984"/>
  <pageSetup scale="22" fitToHeight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Ynes Danilda Abreu Ureña</dc:creator>
  <cp:lastModifiedBy>Ruth Esther Patricio Agramonte</cp:lastModifiedBy>
  <cp:lastPrinted>2023-06-07T16:40:12Z</cp:lastPrinted>
  <dcterms:created xsi:type="dcterms:W3CDTF">2021-03-11T12:14:44Z</dcterms:created>
  <dcterms:modified xsi:type="dcterms:W3CDTF">2023-06-09T17:12:33Z</dcterms:modified>
</cp:coreProperties>
</file>