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3\"/>
    </mc:Choice>
  </mc:AlternateContent>
  <bookViews>
    <workbookView xWindow="0" yWindow="0" windowWidth="19200" windowHeight="11595"/>
  </bookViews>
  <sheets>
    <sheet name="DEUDA" sheetId="7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0" i="7" l="1"/>
  <c r="K140" i="7"/>
  <c r="J22" i="7"/>
  <c r="L21" i="7"/>
  <c r="K107" i="7"/>
  <c r="J107" i="7"/>
  <c r="K105" i="7"/>
  <c r="J112" i="7"/>
  <c r="M58" i="7"/>
  <c r="L18" i="7"/>
  <c r="H183" i="7"/>
  <c r="N39" i="7" l="1"/>
  <c r="N191" i="7"/>
  <c r="N188" i="7"/>
  <c r="N189" i="7"/>
  <c r="N190" i="7"/>
  <c r="N187" i="7"/>
  <c r="N138" i="7"/>
  <c r="N64" i="7"/>
  <c r="N121" i="7"/>
  <c r="N160" i="7"/>
  <c r="N119" i="7"/>
  <c r="N26" i="7"/>
  <c r="N9" i="7"/>
  <c r="M106" i="7"/>
  <c r="L146" i="7"/>
  <c r="M80" i="7"/>
  <c r="M112" i="7"/>
  <c r="M165" i="7"/>
  <c r="M105" i="7"/>
  <c r="N105" i="7" s="1"/>
  <c r="M36" i="7"/>
  <c r="M182" i="7"/>
  <c r="L35" i="7"/>
  <c r="N111" i="7"/>
  <c r="M195" i="7" l="1"/>
  <c r="I113" i="7" l="1"/>
  <c r="K44" i="7"/>
  <c r="L179" i="7" l="1"/>
  <c r="L182" i="7" l="1"/>
  <c r="N184" i="7"/>
  <c r="L50" i="7"/>
  <c r="N50" i="7" s="1"/>
  <c r="K165" i="7" l="1"/>
  <c r="N165" i="7" s="1"/>
  <c r="L22" i="7"/>
  <c r="N7" i="7" l="1"/>
  <c r="N8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E25" i="7"/>
  <c r="N25" i="7" s="1"/>
  <c r="N27" i="7"/>
  <c r="N28" i="7"/>
  <c r="N29" i="7"/>
  <c r="N30" i="7"/>
  <c r="N31" i="7"/>
  <c r="N32" i="7"/>
  <c r="N33" i="7"/>
  <c r="N34" i="7"/>
  <c r="N35" i="7"/>
  <c r="I36" i="7"/>
  <c r="J36" i="7"/>
  <c r="K36" i="7"/>
  <c r="N37" i="7"/>
  <c r="N38" i="7"/>
  <c r="N40" i="7"/>
  <c r="N41" i="7"/>
  <c r="N42" i="7"/>
  <c r="N43" i="7"/>
  <c r="L44" i="7"/>
  <c r="N44" i="7" s="1"/>
  <c r="N45" i="7"/>
  <c r="N46" i="7"/>
  <c r="N47" i="7"/>
  <c r="N48" i="7"/>
  <c r="N49" i="7"/>
  <c r="N51" i="7"/>
  <c r="N52" i="7"/>
  <c r="N53" i="7"/>
  <c r="N54" i="7"/>
  <c r="N55" i="7"/>
  <c r="N56" i="7"/>
  <c r="N57" i="7"/>
  <c r="N59" i="7"/>
  <c r="N60" i="7"/>
  <c r="N61" i="7"/>
  <c r="N62" i="7"/>
  <c r="N63" i="7"/>
  <c r="N65" i="7"/>
  <c r="K66" i="7"/>
  <c r="L66" i="7"/>
  <c r="J67" i="7"/>
  <c r="N67" i="7" s="1"/>
  <c r="N68" i="7"/>
  <c r="N69" i="7"/>
  <c r="N70" i="7"/>
  <c r="N71" i="7"/>
  <c r="N72" i="7"/>
  <c r="N73" i="7"/>
  <c r="N74" i="7"/>
  <c r="N75" i="7"/>
  <c r="N76" i="7"/>
  <c r="J77" i="7"/>
  <c r="K77" i="7"/>
  <c r="N78" i="7"/>
  <c r="N79" i="7"/>
  <c r="J80" i="7"/>
  <c r="K80" i="7"/>
  <c r="L80" i="7"/>
  <c r="N81" i="7"/>
  <c r="N82" i="7"/>
  <c r="N83" i="7"/>
  <c r="N84" i="7"/>
  <c r="N85" i="7"/>
  <c r="N86" i="7"/>
  <c r="N87" i="7"/>
  <c r="N88" i="7"/>
  <c r="N89" i="7"/>
  <c r="N90" i="7"/>
  <c r="N91" i="7"/>
  <c r="N92" i="7"/>
  <c r="N93" i="7"/>
  <c r="N94" i="7"/>
  <c r="N95" i="7"/>
  <c r="N96" i="7"/>
  <c r="N97" i="7"/>
  <c r="N98" i="7"/>
  <c r="N99" i="7"/>
  <c r="N100" i="7"/>
  <c r="N101" i="7"/>
  <c r="N102" i="7"/>
  <c r="N103" i="7"/>
  <c r="N104" i="7"/>
  <c r="H106" i="7"/>
  <c r="J106" i="7"/>
  <c r="L106" i="7"/>
  <c r="L107" i="7"/>
  <c r="N108" i="7"/>
  <c r="N109" i="7"/>
  <c r="N110" i="7"/>
  <c r="H112" i="7"/>
  <c r="N112" i="7" s="1"/>
  <c r="J113" i="7"/>
  <c r="K113" i="7"/>
  <c r="L113" i="7"/>
  <c r="N114" i="7"/>
  <c r="N115" i="7"/>
  <c r="N116" i="7"/>
  <c r="N117" i="7"/>
  <c r="N118" i="7"/>
  <c r="N120" i="7"/>
  <c r="N122" i="7"/>
  <c r="N123" i="7"/>
  <c r="N124" i="7"/>
  <c r="N125" i="7"/>
  <c r="N126" i="7"/>
  <c r="K127" i="7"/>
  <c r="N127" i="7" s="1"/>
  <c r="N128" i="7"/>
  <c r="N129" i="7"/>
  <c r="N130" i="7"/>
  <c r="N131" i="7"/>
  <c r="H132" i="7"/>
  <c r="I132" i="7"/>
  <c r="L132" i="7"/>
  <c r="N133" i="7"/>
  <c r="N134" i="7"/>
  <c r="N135" i="7"/>
  <c r="N136" i="7"/>
  <c r="N137" i="7"/>
  <c r="N139" i="7"/>
  <c r="N141" i="7"/>
  <c r="N142" i="7"/>
  <c r="N143" i="7"/>
  <c r="J144" i="7"/>
  <c r="N144" i="7" s="1"/>
  <c r="N145" i="7"/>
  <c r="N146" i="7"/>
  <c r="N147" i="7"/>
  <c r="N148" i="7"/>
  <c r="N149" i="7"/>
  <c r="N150" i="7"/>
  <c r="N151" i="7"/>
  <c r="N152" i="7"/>
  <c r="K153" i="7"/>
  <c r="N153" i="7" s="1"/>
  <c r="N154" i="7"/>
  <c r="N155" i="7"/>
  <c r="N156" i="7"/>
  <c r="N157" i="7"/>
  <c r="N158" i="7"/>
  <c r="N159" i="7"/>
  <c r="L161" i="7"/>
  <c r="N161" i="7" s="1"/>
  <c r="N162" i="7"/>
  <c r="H163" i="7"/>
  <c r="N163" i="7" s="1"/>
  <c r="N164" i="7"/>
  <c r="N166" i="7"/>
  <c r="N167" i="7"/>
  <c r="N168" i="7"/>
  <c r="N169" i="7"/>
  <c r="N170" i="7"/>
  <c r="N171" i="7"/>
  <c r="N172" i="7"/>
  <c r="N173" i="7"/>
  <c r="N174" i="7"/>
  <c r="N175" i="7"/>
  <c r="N176" i="7"/>
  <c r="N177" i="7"/>
  <c r="N178" i="7"/>
  <c r="N179" i="7"/>
  <c r="N180" i="7"/>
  <c r="N181" i="7"/>
  <c r="H182" i="7"/>
  <c r="J182" i="7"/>
  <c r="K182" i="7"/>
  <c r="N183" i="7"/>
  <c r="N185" i="7"/>
  <c r="K186" i="7"/>
  <c r="N186" i="7" s="1"/>
  <c r="N192" i="7"/>
  <c r="N193" i="7"/>
  <c r="L195" i="7" l="1"/>
  <c r="N132" i="7"/>
  <c r="N77" i="7"/>
  <c r="N66" i="7"/>
  <c r="N36" i="7"/>
  <c r="N80" i="7"/>
  <c r="N182" i="7"/>
  <c r="N140" i="7"/>
  <c r="N113" i="7"/>
  <c r="N106" i="7"/>
  <c r="N107" i="7"/>
  <c r="N58" i="7"/>
  <c r="K195" i="7" l="1"/>
  <c r="E195" i="7" l="1"/>
  <c r="I195" i="7" l="1"/>
  <c r="H195" i="7"/>
  <c r="G195" i="7"/>
  <c r="F195" i="7"/>
  <c r="N194" i="7" l="1"/>
  <c r="J195" i="7" l="1"/>
  <c r="N195" i="7" s="1"/>
</calcChain>
</file>

<file path=xl/sharedStrings.xml><?xml version="1.0" encoding="utf-8"?>
<sst xmlns="http://schemas.openxmlformats.org/spreadsheetml/2006/main" count="575" uniqueCount="316">
  <si>
    <t>NO</t>
  </si>
  <si>
    <t xml:space="preserve">DIRECCION DE FISCALIZACION Y CONTROL </t>
  </si>
  <si>
    <t xml:space="preserve">NOMBRES PROVEEDOR  </t>
  </si>
  <si>
    <t>FUENTE DE FINANCIAMIENTO</t>
  </si>
  <si>
    <t>MONTO AÑOS ANTERIORES</t>
  </si>
  <si>
    <t>MONTO AÑO 2021</t>
  </si>
  <si>
    <t>TOTAL ADEUDA</t>
  </si>
  <si>
    <t xml:space="preserve">TOTAL GENERAL </t>
  </si>
  <si>
    <t xml:space="preserve">CONCEPTO DE COMPRA ( BREVE DESCRIPCION ) </t>
  </si>
  <si>
    <t>MONTO AÑO 2022</t>
  </si>
  <si>
    <t>MONTO AL 28 FEBRERO 2023</t>
  </si>
  <si>
    <t>MONTO ENERO 2023</t>
  </si>
  <si>
    <t>24 SERVIC DOMINICANA</t>
  </si>
  <si>
    <t>AGRAMONTE AUTO PARTS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</si>
  <si>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</si>
  <si>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</si>
  <si>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</si>
  <si>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</si>
  <si>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</si>
  <si>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</si>
  <si>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</si>
  <si>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</si>
  <si>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</si>
  <si>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</si>
  <si>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</si>
  <si>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 xml:space="preserve">BIO-NUCLEAR </t>
  </si>
  <si>
    <t>BLAXCOR MEDICAL</t>
  </si>
  <si>
    <t>CAR-M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</si>
  <si>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</si>
  <si>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</si>
  <si>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</si>
  <si>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</si>
  <si>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</si>
  <si>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</si>
  <si>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</si>
  <si>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</si>
  <si>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CYBERRAN SRL</t>
  </si>
  <si>
    <t>CRUZ AYALA, SRL</t>
  </si>
  <si>
    <t>CEM CARIBBEAN</t>
  </si>
  <si>
    <t>COPEM HOSPICLINIC</t>
  </si>
  <si>
    <t>COMERCIAL WILSON</t>
  </si>
  <si>
    <t>COLEGIO MEDICO DOMINICANO</t>
  </si>
  <si>
    <t>PRODUCTOS CHEF, S.A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</si>
  <si>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</si>
  <si>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</si>
  <si>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</si>
  <si>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</si>
  <si>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</si>
  <si>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</si>
  <si>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</si>
  <si>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</si>
  <si>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</si>
  <si>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</si>
  <si>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DELICIAS</t>
  </si>
  <si>
    <t>EDITORA CS, SRL</t>
  </si>
  <si>
    <t>EQUIMECORO</t>
  </si>
  <si>
    <t>ESODIHSA</t>
  </si>
  <si>
    <t>ESTACION DE COMBUSTIBLE MAMBO</t>
  </si>
  <si>
    <t>ELECTROSUR</t>
  </si>
  <si>
    <t xml:space="preserve">EL PIROS PHAMACEUTICA SRL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</si>
  <si>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</si>
  <si>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</si>
  <si>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</si>
  <si>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</si>
  <si>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</si>
  <si>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</si>
  <si>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</si>
  <si>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</si>
  <si>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</si>
  <si>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</si>
  <si>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</si>
  <si>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</si>
  <si>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</si>
  <si>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GILBERT JOSE GONZALEZ</t>
  </si>
  <si>
    <t>GRUPO FILIA</t>
  </si>
  <si>
    <t>GZ HEALTH</t>
  </si>
  <si>
    <t>GAMMA TECH</t>
  </si>
  <si>
    <t>GASES DEL SUR</t>
  </si>
  <si>
    <t>HEMOTEST</t>
  </si>
  <si>
    <t>HIDROMED</t>
  </si>
  <si>
    <t>HEXAPOWER PHARMA</t>
  </si>
  <si>
    <t>HOSPILAB, SRL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</si>
  <si>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</si>
  <si>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</si>
  <si>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</si>
  <si>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</si>
  <si>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</si>
  <si>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</si>
  <si>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</si>
  <si>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</si>
  <si>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INVERCIONES PALAU ,S.A,</t>
  </si>
  <si>
    <t>INNOVAMED</t>
  </si>
  <si>
    <t xml:space="preserve">INVERCIONES CABRAL MORA </t>
  </si>
  <si>
    <t>IMPRESORA KR,SRL</t>
  </si>
  <si>
    <t>JENRRY SENCION</t>
  </si>
  <si>
    <t>JONATHAN ROSSO MEJIA</t>
  </si>
  <si>
    <t>JOSE REYES INSTALACION</t>
  </si>
  <si>
    <t>JUÑAÑO</t>
  </si>
  <si>
    <t>JOCACE</t>
  </si>
  <si>
    <t>JM GUNDIN &amp; ASOCIADOS ,S.R.L.</t>
  </si>
  <si>
    <t>JOSE AUGUSTO SORIANO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</si>
  <si>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</si>
  <si>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</si>
  <si>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</si>
  <si>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</si>
  <si>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</si>
  <si>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</si>
  <si>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</si>
  <si>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</si>
  <si>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</si>
  <si>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</si>
  <si>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</si>
  <si>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</si>
  <si>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</si>
  <si>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</si>
  <si>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</si>
  <si>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</si>
  <si>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</si>
  <si>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</si>
  <si>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</si>
  <si>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</si>
  <si>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</si>
  <si>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</si>
  <si>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</si>
  <si>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</si>
  <si>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</si>
  <si>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</si>
  <si>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</si>
  <si>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</si>
  <si>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</si>
  <si>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</si>
  <si>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</si>
  <si>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</si>
  <si>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</si>
  <si>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PAPATERRA MONTOLIO</t>
  </si>
  <si>
    <t>PROMEDCA</t>
  </si>
  <si>
    <t>PROQUIA</t>
  </si>
  <si>
    <t>QUINTIN MORILLO</t>
  </si>
  <si>
    <t>R&amp;R MEDIC /CRISTINA ROSARIO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</si>
  <si>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</si>
  <si>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</si>
  <si>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</si>
  <si>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</si>
  <si>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</si>
  <si>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</si>
  <si>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</si>
  <si>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</si>
  <si>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</si>
  <si>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</si>
  <si>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 xml:space="preserve">SUPLIMED    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</si>
  <si>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</si>
  <si>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</si>
  <si>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</si>
  <si>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</si>
  <si>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</si>
  <si>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</si>
  <si>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</si>
  <si>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</si>
  <si>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</si>
  <si>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</si>
  <si>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>TELELITE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</si>
  <si>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</si>
  <si>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</si>
  <si>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</si>
  <si>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</si>
  <si>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</si>
  <si>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</si>
  <si>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</si>
  <si>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</si>
  <si>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</si>
  <si>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</si>
  <si>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</si>
  <si>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</si>
  <si>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</si>
  <si>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</si>
  <si>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SERVIC SALUD</t>
  </si>
  <si>
    <t>TROPIGAS</t>
  </si>
  <si>
    <t>ZOEC CIVIL</t>
  </si>
  <si>
    <t>ESEMUC, SRL</t>
  </si>
  <si>
    <t>GONZMEL</t>
  </si>
  <si>
    <t>CIRCUIMED</t>
  </si>
  <si>
    <t xml:space="preserve">FORDSTAR </t>
  </si>
  <si>
    <t>DASSA PHARMACEUTICAL ,S.A</t>
  </si>
  <si>
    <t>ACTUALIDADES HOMER CENTER</t>
  </si>
  <si>
    <t>TAPICENTRO A&amp;A SRL</t>
  </si>
  <si>
    <t>GERENFAR,S..R,L.</t>
  </si>
  <si>
    <t>SOLUCIONES ELECTROPOWER ,S.R.L.</t>
  </si>
  <si>
    <t>CANO FOTOGRAFIA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</si>
  <si>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</si>
  <si>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</si>
  <si>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</si>
  <si>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</si>
  <si>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</si>
  <si>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</si>
  <si>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MEDICAMENTOS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</si>
  <si>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</si>
  <si>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</si>
  <si>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</si>
  <si>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</si>
  <si>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</si>
  <si>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VIVERES</t>
  </si>
  <si>
    <t>REACTIVOS LABORATORIO</t>
  </si>
  <si>
    <t>REACTIVO DE LABORATORIO</t>
  </si>
  <si>
    <t>MATERIALES MEDICO</t>
  </si>
  <si>
    <t>PAPEL DE ELECTRO</t>
  </si>
  <si>
    <t>ANESTESICOS</t>
  </si>
  <si>
    <t>PUBLICIDAD</t>
  </si>
  <si>
    <t>ELECTRODOMESTICO</t>
  </si>
  <si>
    <t>REACTIVOS</t>
  </si>
  <si>
    <t>SEP DE LARINGOSCOPIOS</t>
  </si>
  <si>
    <t>ALQUILER DE SALON PARA CENA</t>
  </si>
  <si>
    <t>EMBUSTIDO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</si>
  <si>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</si>
  <si>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</si>
  <si>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</si>
  <si>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</si>
  <si>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</si>
  <si>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</si>
  <si>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 xml:space="preserve">SERVICIOS DE BUFFET PARA 50 PERSONAS 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</si>
  <si>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</si>
  <si>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</si>
  <si>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</si>
  <si>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</si>
  <si>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</si>
  <si>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</si>
  <si>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</si>
  <si>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</si>
  <si>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</si>
  <si>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</si>
  <si>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</si>
  <si>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MANT. DE AIRES</t>
  </si>
  <si>
    <t>MAT.MEDICO</t>
  </si>
  <si>
    <t>IMPRESORA INDUSTRIAL  MULTIFUNCIONAL</t>
  </si>
  <si>
    <t>OXIGENO</t>
  </si>
  <si>
    <t>MEDICAMENTO</t>
  </si>
  <si>
    <t xml:space="preserve">MICROSCOCOPIO DIGITAL </t>
  </si>
  <si>
    <t>SUMINISTRO DE AGUA</t>
  </si>
  <si>
    <t>REPUESTO AMB.</t>
  </si>
  <si>
    <t>MATERIAL DE INFORMATICA</t>
  </si>
  <si>
    <t>SERVICIO ARQUILER DE SONIDO</t>
  </si>
  <si>
    <t xml:space="preserve">EQUIPO TECNOLOGICOS </t>
  </si>
  <si>
    <t>SUMINISTRO DE MAT.PARA FARMACIA</t>
  </si>
  <si>
    <t>REPARACION EQUIPO</t>
  </si>
  <si>
    <t>MANTTO. AIRES ACON.</t>
  </si>
  <si>
    <t xml:space="preserve">ALMUERZO </t>
  </si>
  <si>
    <t>CAMBIO DE TUBERIA</t>
  </si>
  <si>
    <t>SERVICIO TECNICO</t>
  </si>
  <si>
    <t>SERVICIOS DE INSPECCION DE SALA QUIRURGICAS</t>
  </si>
  <si>
    <t>CARNE DE RES</t>
  </si>
  <si>
    <t>SUMISTRO DE MAT. GASTABLE</t>
  </si>
  <si>
    <t>VIVERE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</si>
  <si>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</si>
  <si>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</si>
  <si>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</si>
  <si>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</si>
  <si>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</si>
  <si>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</si>
  <si>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</si>
  <si>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</si>
  <si>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</si>
  <si>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MANTENIMIENTO DE ASCENSORES</t>
  </si>
  <si>
    <t>SERVICIO DE INFORMATICA</t>
  </si>
  <si>
    <t>MAT .FERRETERO</t>
  </si>
  <si>
    <t>PROVISIONES</t>
  </si>
  <si>
    <t>MAT.DE ELEVADORES</t>
  </si>
  <si>
    <t>MANTENIMIENTO EQUIPOS</t>
  </si>
  <si>
    <t>RANURAR Y SOLDAR</t>
  </si>
  <si>
    <t>COMPRA DE IMPRESORA</t>
  </si>
  <si>
    <t>PLACAS DE RAYOS X</t>
  </si>
  <si>
    <t>MATERIAL MEDICO/MEDICAMENTOS</t>
  </si>
  <si>
    <t>BUFFET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</si>
  <si>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</si>
  <si>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</si>
  <si>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</si>
  <si>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</si>
  <si>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</si>
  <si>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</si>
  <si>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</si>
  <si>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</si>
  <si>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</si>
  <si>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</si>
  <si>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SUMINISTRO EQUIPO MEDICO</t>
  </si>
  <si>
    <t>NEBULIZADOR PULMO AIDE 5650D</t>
  </si>
  <si>
    <t>MEDICAMENTOS /MAT MEDICO QUIRURGICO</t>
  </si>
  <si>
    <t>COMPRA DE SILLAS</t>
  </si>
  <si>
    <t xml:space="preserve">COMPRA DE COLCHON </t>
  </si>
  <si>
    <t>REHABILITACION DE CIRCUITO ELECTRICO AIRE</t>
  </si>
  <si>
    <t>SUMINISTRO DE MAT.GASTABLES</t>
  </si>
  <si>
    <t>FONDO OPERATIVO</t>
  </si>
  <si>
    <t>VENTA DE SERVICIO</t>
  </si>
  <si>
    <t>MONTO AL 31 DE MARZO</t>
  </si>
  <si>
    <t xml:space="preserve">MORA BELTRE </t>
  </si>
  <si>
    <t xml:space="preserve"> </t>
  </si>
  <si>
    <t xml:space="preserve"> SUMINISTRO DE VIVERES</t>
  </si>
  <si>
    <t xml:space="preserve">    </t>
  </si>
  <si>
    <t xml:space="preserve">                            </t>
  </si>
  <si>
    <t>ROSA MARGARITA NUÑEZ</t>
  </si>
  <si>
    <t xml:space="preserve">REDACCION Y LEGALIZACION DE 115 CONTRATO S/ </t>
  </si>
  <si>
    <t xml:space="preserve">GUIVAL MEDICAL </t>
  </si>
  <si>
    <t xml:space="preserve">MAT MEDICO QUIRURGICO </t>
  </si>
  <si>
    <t xml:space="preserve">MASTER-CLEA </t>
  </si>
  <si>
    <t xml:space="preserve">           </t>
  </si>
  <si>
    <t>KRONGEL COMERCIAL,SRL</t>
  </si>
  <si>
    <t>COMPRA DE COLCHONES HOSPITALARIO</t>
  </si>
  <si>
    <r>
      <t xml:space="preserve"> ESTABLECIMIENTO: </t>
    </r>
    <r>
      <rPr>
        <b/>
        <u/>
        <sz val="11"/>
        <color theme="1"/>
        <rFont val="Calibri"/>
        <family val="2"/>
        <scheme val="minor"/>
      </rPr>
      <t>HOSPITAL REGIONAL TAIWAN 19 DE MARZO xxxxxxxxxx</t>
    </r>
  </si>
  <si>
    <t>AGRSIPINA RAMIREZ</t>
  </si>
  <si>
    <t>EPX DOMINICANA SRL</t>
  </si>
  <si>
    <t>JUAN JOSE RAMIREZ CONTRERAS</t>
  </si>
  <si>
    <t>TRANSPORTE DE CARGA Y DESCARGA DE ALIMENTOS Y OTROS AJUARES</t>
  </si>
  <si>
    <t>RALANSA EIRL</t>
  </si>
  <si>
    <t>FAUSTO MIGUEL CIPRIAN</t>
  </si>
  <si>
    <t xml:space="preserve">SERVICIO DE TRANSPORTE </t>
  </si>
  <si>
    <t>BIONOVA</t>
  </si>
  <si>
    <t>Compromiso de deuda 2023</t>
  </si>
  <si>
    <r>
      <t xml:space="preserve">MES REPORTADO: </t>
    </r>
    <r>
      <rPr>
        <b/>
        <sz val="14"/>
        <color theme="1"/>
        <rFont val="Calibri"/>
        <family val="2"/>
        <scheme val="minor"/>
      </rPr>
      <t>junio-  2023</t>
    </r>
  </si>
  <si>
    <t xml:space="preserve">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</si>
</sst>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Times New Roman"/>
      <family val="1"/>
    </font>
    <font>
      <b/>
      <sz val="20"/>
      <name val="Calibri"/>
      <family val="2"/>
      <scheme val="minor"/>
    </font>
    <font>
      <sz val="20"/>
      <name val="Calibri Light"/>
      <family val="1"/>
      <scheme val="major"/>
    </font>
    <font>
      <sz val="20"/>
      <color rgb="FFFF0000"/>
      <name val="Calibri"/>
      <family val="2"/>
      <scheme val="minor"/>
    </font>
    <font>
      <sz val="20"/>
      <name val="Times New Roman"/>
      <family val="1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 tint="4.9989318521683403E-2"/>
      <name val="Calibri"/>
      <family val="2"/>
      <scheme val="minor"/>
    </font>
    <font>
      <b/>
      <sz val="20"/>
      <color theme="2" tint="-0.499984740745262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20"/>
      <color rgb="FFFF0000"/>
      <name val="Times New Roman"/>
      <family val="1"/>
    </font>
    <font>
      <sz val="1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3" xfId="0" applyBorder="1"/>
    <xf numFmtId="0" fontId="2" fillId="2" borderId="2" xfId="0" applyFont="1" applyFill="1" applyBorder="1" applyAlignment="1">
      <alignment horizontal="center" wrapText="1"/>
    </xf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7" fillId="0" borderId="0" xfId="0" applyFont="1"/>
    <xf numFmtId="17" fontId="2" fillId="2" borderId="2" xfId="0" applyNumberFormat="1" applyFont="1" applyFill="1" applyBorder="1" applyAlignment="1">
      <alignment horizontal="center" wrapText="1"/>
    </xf>
    <xf numFmtId="0" fontId="10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4" fontId="0" fillId="0" borderId="0" xfId="0" applyNumberFormat="1"/>
    <xf numFmtId="164" fontId="12" fillId="0" borderId="2" xfId="6" applyFont="1" applyFill="1" applyBorder="1" applyAlignment="1">
      <alignment horizontal="center"/>
    </xf>
    <xf numFmtId="164" fontId="13" fillId="0" borderId="2" xfId="6" applyFont="1" applyBorder="1" applyAlignment="1">
      <alignment horizontal="center"/>
    </xf>
    <xf numFmtId="164" fontId="12" fillId="3" borderId="2" xfId="6" applyFont="1" applyFill="1" applyBorder="1" applyAlignment="1">
      <alignment horizontal="right"/>
    </xf>
    <xf numFmtId="43" fontId="12" fillId="0" borderId="2" xfId="8" applyFont="1" applyFill="1" applyBorder="1" applyAlignment="1">
      <alignment horizontal="center"/>
    </xf>
    <xf numFmtId="4" fontId="14" fillId="0" borderId="2" xfId="0" applyNumberFormat="1" applyFont="1" applyBorder="1" applyAlignment="1">
      <alignment horizontal="center"/>
    </xf>
    <xf numFmtId="164" fontId="14" fillId="0" borderId="2" xfId="6" applyFont="1" applyBorder="1" applyAlignment="1">
      <alignment horizontal="center"/>
    </xf>
    <xf numFmtId="164" fontId="15" fillId="0" borderId="2" xfId="6" applyFont="1" applyFill="1" applyBorder="1" applyAlignment="1">
      <alignment horizontal="center"/>
    </xf>
    <xf numFmtId="164" fontId="13" fillId="0" borderId="2" xfId="6" applyFont="1" applyFill="1" applyBorder="1" applyAlignment="1">
      <alignment horizontal="center"/>
    </xf>
    <xf numFmtId="164" fontId="13" fillId="3" borderId="2" xfId="6" applyFont="1" applyFill="1" applyBorder="1" applyAlignment="1">
      <alignment horizontal="right"/>
    </xf>
    <xf numFmtId="43" fontId="16" fillId="0" borderId="2" xfId="8" applyFont="1" applyFill="1" applyBorder="1" applyAlignment="1">
      <alignment horizontal="center" vertical="center" wrapText="1"/>
    </xf>
    <xf numFmtId="164" fontId="17" fillId="0" borderId="2" xfId="6" applyFont="1" applyFill="1" applyBorder="1" applyAlignment="1">
      <alignment horizontal="center"/>
    </xf>
    <xf numFmtId="4" fontId="18" fillId="0" borderId="2" xfId="0" applyNumberFormat="1" applyFont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4" fillId="0" borderId="1" xfId="0" applyNumberFormat="1" applyFont="1" applyBorder="1" applyAlignment="1">
      <alignment horizontal="center"/>
    </xf>
    <xf numFmtId="164" fontId="12" fillId="0" borderId="1" xfId="6" applyFont="1" applyFill="1" applyBorder="1" applyAlignment="1">
      <alignment horizontal="center"/>
    </xf>
    <xf numFmtId="4" fontId="14" fillId="3" borderId="2" xfId="0" applyNumberFormat="1" applyFont="1" applyFill="1" applyBorder="1"/>
    <xf numFmtId="4" fontId="19" fillId="4" borderId="2" xfId="0" applyNumberFormat="1" applyFont="1" applyFill="1" applyBorder="1"/>
    <xf numFmtId="4" fontId="19" fillId="4" borderId="1" xfId="0" applyNumberFormat="1" applyFont="1" applyFill="1" applyBorder="1"/>
    <xf numFmtId="164" fontId="19" fillId="4" borderId="1" xfId="0" applyNumberFormat="1" applyFont="1" applyFill="1" applyBorder="1"/>
    <xf numFmtId="164" fontId="19" fillId="4" borderId="1" xfId="0" applyNumberFormat="1" applyFont="1" applyFill="1" applyBorder="1" applyAlignment="1">
      <alignment horizontal="right"/>
    </xf>
    <xf numFmtId="164" fontId="19" fillId="4" borderId="2" xfId="6" applyFont="1" applyFill="1" applyBorder="1" applyAlignment="1">
      <alignment horizontal="right"/>
    </xf>
    <xf numFmtId="0" fontId="20" fillId="0" borderId="0" xfId="0" applyFont="1"/>
    <xf numFmtId="0" fontId="19" fillId="0" borderId="2" xfId="0" applyFont="1" applyBorder="1" applyAlignment="1">
      <alignment horizontal="center"/>
    </xf>
    <xf numFmtId="0" fontId="18" fillId="0" borderId="2" xfId="0" applyFont="1" applyBorder="1"/>
    <xf numFmtId="0" fontId="12" fillId="0" borderId="2" xfId="0" applyFont="1" applyBorder="1"/>
    <xf numFmtId="0" fontId="13" fillId="0" borderId="2" xfId="0" applyFont="1" applyBorder="1"/>
    <xf numFmtId="0" fontId="22" fillId="0" borderId="2" xfId="0" applyFont="1" applyBorder="1"/>
    <xf numFmtId="0" fontId="12" fillId="3" borderId="2" xfId="0" applyFont="1" applyFill="1" applyBorder="1"/>
    <xf numFmtId="0" fontId="14" fillId="0" borderId="2" xfId="0" applyFont="1" applyBorder="1"/>
    <xf numFmtId="0" fontId="12" fillId="0" borderId="2" xfId="0" applyFont="1" applyBorder="1" applyAlignment="1">
      <alignment wrapText="1"/>
    </xf>
    <xf numFmtId="0" fontId="12" fillId="0" borderId="5" xfId="0" applyFont="1" applyBorder="1"/>
    <xf numFmtId="0" fontId="23" fillId="0" borderId="2" xfId="7" applyFont="1" applyBorder="1"/>
    <xf numFmtId="0" fontId="24" fillId="3" borderId="2" xfId="7" applyFont="1" applyFill="1" applyBorder="1"/>
    <xf numFmtId="0" fontId="25" fillId="3" borderId="5" xfId="7" applyFont="1" applyFill="1" applyBorder="1" applyAlignment="1">
      <alignment horizontal="left"/>
    </xf>
    <xf numFmtId="0" fontId="27" fillId="0" borderId="2" xfId="0" applyFont="1" applyBorder="1" applyAlignment="1">
      <alignment horizontal="center"/>
    </xf>
    <xf numFmtId="4" fontId="28" fillId="0" borderId="2" xfId="0" applyNumberFormat="1" applyFont="1" applyBorder="1" applyAlignment="1">
      <alignment horizontal="center"/>
    </xf>
    <xf numFmtId="0" fontId="26" fillId="0" borderId="0" xfId="0" applyFont="1"/>
    <xf numFmtId="0" fontId="29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9" fillId="4" borderId="4" xfId="0" applyFont="1" applyFill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9">
    <cellStyle name="Millares" xfId="8" builtinId="3"/>
    <cellStyle name="Millares 2" xfId="3"/>
    <cellStyle name="Millares 2 2" xfId="6"/>
    <cellStyle name="Millares 3" xfId="5"/>
    <cellStyle name="Millares 9" xfId="2"/>
    <cellStyle name="Normal" xfId="0" builtinId="0"/>
    <cellStyle name="Normal 2" xfId="4"/>
    <cellStyle name="Normal 2 2" xfId="1"/>
    <cellStyle name="Normal 3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07"/>
  <sheetViews>
    <sheetView tabSelected="1" topLeftCell="A187" zoomScale="85" zoomScaleNormal="85" workbookViewId="0">
      <selection activeCell="D209" sqref="D209"/>
    </sheetView>
  </sheetViews>
  <sheetFormatPr baseColWidth="10" defaultColWidth="11.42578125" defaultRowHeight="15" x14ac:dyDescent="0.25"/>
  <cols>
    <col min="1" max="1" width="8.42578125" customWidth="1"/>
    <col min="2" max="2" width="72.85546875" customWidth="1"/>
    <col min="3" max="3" width="58.28515625" customWidth="1"/>
    <col min="4" max="4" width="35" customWidth="1"/>
    <col min="5" max="5" width="28.140625" customWidth="1"/>
    <col min="6" max="6" width="30" customWidth="1"/>
    <col min="7" max="7" width="32" customWidth="1"/>
    <col min="8" max="8" width="29.5703125" customWidth="1"/>
    <col min="9" max="10" width="29.85546875" customWidth="1"/>
    <col min="11" max="11" width="31.140625" customWidth="1"/>
    <col min="12" max="12" width="30.7109375" customWidth="1"/>
    <col min="13" max="13" width="30" customWidth="1"/>
    <col min="14" max="14" width="30.42578125" customWidth="1"/>
  </cols>
  <sheetData>
    <row r="1" spans="1:16" ht="21" x14ac:dyDescent="0.35">
      <c r="A1" s="2"/>
      <c r="B1" s="2" t="s">
        <v>301</v>
      </c>
      <c r="C1" s="2"/>
      <c r="D1" s="2"/>
      <c r="E1" s="2"/>
      <c r="F1" s="56"/>
      <c r="G1" s="56"/>
      <c r="H1" s="2"/>
      <c r="I1" s="2"/>
      <c r="J1" s="2"/>
      <c r="K1" s="2"/>
      <c r="L1" s="2"/>
      <c r="M1" s="2"/>
      <c r="N1" s="2"/>
    </row>
    <row r="2" spans="1:16" ht="15.75" x14ac:dyDescent="0.25">
      <c r="A2" s="3" t="s">
        <v>1</v>
      </c>
      <c r="B2" s="3"/>
      <c r="C2" s="3"/>
      <c r="D2" s="3"/>
      <c r="E2" s="3"/>
      <c r="F2" s="57"/>
      <c r="G2" s="57"/>
      <c r="H2" s="3"/>
      <c r="I2" s="3"/>
      <c r="J2" s="3"/>
      <c r="K2" s="3"/>
      <c r="L2" s="3"/>
      <c r="M2" s="3"/>
      <c r="N2" s="3"/>
    </row>
    <row r="3" spans="1:16" x14ac:dyDescent="0.25">
      <c r="F3" t="s">
        <v>313</v>
      </c>
    </row>
    <row r="4" spans="1:16" ht="18.75" x14ac:dyDescent="0.3">
      <c r="A4" t="s">
        <v>304</v>
      </c>
      <c r="B4" s="39"/>
      <c r="F4" s="39" t="s">
        <v>314</v>
      </c>
    </row>
    <row r="5" spans="1:16" ht="27" customHeight="1" x14ac:dyDescent="0.35">
      <c r="B5" s="4"/>
      <c r="H5" s="10"/>
    </row>
    <row r="6" spans="1:16" ht="49.5" customHeight="1" x14ac:dyDescent="0.25">
      <c r="A6" s="5" t="s">
        <v>0</v>
      </c>
      <c r="B6" s="5" t="s">
        <v>2</v>
      </c>
      <c r="C6" s="5" t="s">
        <v>8</v>
      </c>
      <c r="D6" s="5" t="s">
        <v>3</v>
      </c>
      <c r="E6" s="5" t="s">
        <v>4</v>
      </c>
      <c r="F6" s="5" t="s">
        <v>5</v>
      </c>
      <c r="G6" s="5" t="s">
        <v>9</v>
      </c>
      <c r="H6" s="5" t="s">
        <v>11</v>
      </c>
      <c r="I6" s="5" t="s">
        <v>10</v>
      </c>
      <c r="J6" s="5" t="s">
        <v>290</v>
      </c>
      <c r="K6" s="11">
        <v>45017</v>
      </c>
      <c r="L6" s="11">
        <v>45047</v>
      </c>
      <c r="M6" s="11">
        <v>45078</v>
      </c>
      <c r="N6" s="5" t="s">
        <v>6</v>
      </c>
    </row>
    <row r="7" spans="1:16" ht="48.75" customHeight="1" x14ac:dyDescent="0.4">
      <c r="A7" s="40">
        <v>1</v>
      </c>
      <c r="B7" s="41" t="s">
        <v>12</v>
      </c>
      <c r="C7" s="42" t="s">
        <v>188</v>
      </c>
      <c r="D7" s="43" t="s">
        <v>288</v>
      </c>
      <c r="E7" s="18">
        <v>0</v>
      </c>
      <c r="F7" s="18"/>
      <c r="G7" s="19"/>
      <c r="H7" s="18"/>
      <c r="I7" s="18"/>
      <c r="J7" s="18">
        <v>75520</v>
      </c>
      <c r="K7" s="18"/>
      <c r="L7" s="18"/>
      <c r="M7" s="18"/>
      <c r="N7" s="20">
        <f>E7+F7+G7+H7+I7+J7+K7+L7</f>
        <v>75520</v>
      </c>
      <c r="P7" s="7"/>
    </row>
    <row r="8" spans="1:16" ht="29.25" customHeight="1" x14ac:dyDescent="0.4">
      <c r="A8" s="40">
        <v>2</v>
      </c>
      <c r="B8" s="41" t="s">
        <v>13</v>
      </c>
      <c r="C8" s="42" t="s">
        <v>189</v>
      </c>
      <c r="D8" s="43" t="s">
        <v>288</v>
      </c>
      <c r="E8" s="18">
        <v>0</v>
      </c>
      <c r="F8" s="18"/>
      <c r="G8" s="19">
        <v>0</v>
      </c>
      <c r="H8" s="18"/>
      <c r="I8" s="18"/>
      <c r="J8" s="18"/>
      <c r="K8" s="18"/>
      <c r="L8" s="18"/>
      <c r="M8" s="18"/>
      <c r="N8" s="20">
        <f>E8+F8+G8+H8+I8</f>
        <v>0</v>
      </c>
      <c r="P8" s="7"/>
    </row>
    <row r="9" spans="1:16" ht="30.75" customHeight="1" x14ac:dyDescent="0.4">
      <c r="A9" s="40">
        <v>3</v>
      </c>
      <c r="B9" s="41" t="s">
        <v>305</v>
      </c>
      <c r="C9" s="42" t="s">
        <v>190</v>
      </c>
      <c r="D9" s="43" t="s">
        <v>288</v>
      </c>
      <c r="E9" s="21">
        <v>97200</v>
      </c>
      <c r="F9" s="18"/>
      <c r="G9" s="22"/>
      <c r="H9" s="18">
        <v>39060</v>
      </c>
      <c r="I9" s="18">
        <v>35280</v>
      </c>
      <c r="J9" s="18"/>
      <c r="K9" s="18">
        <v>37800</v>
      </c>
      <c r="L9" s="18">
        <v>39060</v>
      </c>
      <c r="M9" s="18"/>
      <c r="N9" s="20">
        <f>E9+F9+G9+H9+I9+J9+K9+L9+M9</f>
        <v>248400</v>
      </c>
      <c r="P9" s="7"/>
    </row>
    <row r="10" spans="1:16" ht="29.25" customHeight="1" x14ac:dyDescent="0.4">
      <c r="A10" s="40">
        <v>4</v>
      </c>
      <c r="B10" s="41" t="s">
        <v>14</v>
      </c>
      <c r="C10" s="42" t="s">
        <v>191</v>
      </c>
      <c r="D10" s="43" t="s">
        <v>288</v>
      </c>
      <c r="E10" s="18">
        <v>0</v>
      </c>
      <c r="F10" s="18"/>
      <c r="G10" s="22"/>
      <c r="H10" s="18"/>
      <c r="I10" s="18">
        <v>44640</v>
      </c>
      <c r="J10" s="18">
        <v>50040</v>
      </c>
      <c r="K10" s="18">
        <v>46800</v>
      </c>
      <c r="L10" s="18"/>
      <c r="M10" s="18"/>
      <c r="N10" s="20">
        <f>E10+F10+G10+H10+I10+J10+K10</f>
        <v>141480</v>
      </c>
      <c r="P10" s="7"/>
    </row>
    <row r="11" spans="1:16" ht="24.75" customHeight="1" x14ac:dyDescent="0.4">
      <c r="A11" s="40">
        <v>5</v>
      </c>
      <c r="B11" s="41" t="s">
        <v>15</v>
      </c>
      <c r="C11" s="42" t="s">
        <v>192</v>
      </c>
      <c r="D11" s="43" t="s">
        <v>288</v>
      </c>
      <c r="E11" s="18">
        <v>0</v>
      </c>
      <c r="F11" s="18"/>
      <c r="G11" s="22">
        <v>266080</v>
      </c>
      <c r="H11" s="18"/>
      <c r="I11" s="18">
        <v>0</v>
      </c>
      <c r="J11" s="18"/>
      <c r="K11" s="18"/>
      <c r="L11" s="18"/>
      <c r="M11" s="18"/>
      <c r="N11" s="20">
        <f>E11+F11+G11+H11+I11</f>
        <v>266080</v>
      </c>
      <c r="P11" s="7"/>
    </row>
    <row r="12" spans="1:16" ht="29.25" customHeight="1" x14ac:dyDescent="0.4">
      <c r="A12" s="40">
        <v>7</v>
      </c>
      <c r="B12" s="41" t="s">
        <v>16</v>
      </c>
      <c r="C12" s="42" t="s">
        <v>193</v>
      </c>
      <c r="D12" s="43" t="s">
        <v>288</v>
      </c>
      <c r="E12" s="18">
        <v>0</v>
      </c>
      <c r="F12" s="18"/>
      <c r="G12" s="22"/>
      <c r="H12" s="18"/>
      <c r="I12" s="18"/>
      <c r="J12" s="18"/>
      <c r="K12" s="18"/>
      <c r="L12" s="18"/>
      <c r="M12" s="18"/>
      <c r="N12" s="20">
        <f>E12+F12+G12+H12+I12</f>
        <v>0</v>
      </c>
      <c r="P12" s="7"/>
    </row>
    <row r="13" spans="1:16" ht="22.5" customHeight="1" x14ac:dyDescent="0.4">
      <c r="A13" s="40">
        <v>8</v>
      </c>
      <c r="B13" s="41" t="s">
        <v>17</v>
      </c>
      <c r="C13" s="42" t="s">
        <v>194</v>
      </c>
      <c r="D13" s="42" t="s">
        <v>288</v>
      </c>
      <c r="E13" s="18">
        <v>0</v>
      </c>
      <c r="F13" s="18"/>
      <c r="G13" s="22"/>
      <c r="H13" s="18"/>
      <c r="I13" s="18"/>
      <c r="J13" s="18"/>
      <c r="K13" s="18"/>
      <c r="L13" s="18"/>
      <c r="M13" s="18"/>
      <c r="N13" s="20">
        <f>(E13+F13+G13+H13+I13+J13)</f>
        <v>0</v>
      </c>
      <c r="P13" s="7"/>
    </row>
    <row r="14" spans="1:16" ht="23.25" customHeight="1" x14ac:dyDescent="0.4">
      <c r="A14" s="40">
        <v>9</v>
      </c>
      <c r="B14" s="41" t="s">
        <v>18</v>
      </c>
      <c r="C14" s="42" t="s">
        <v>195</v>
      </c>
      <c r="D14" s="42" t="s">
        <v>288</v>
      </c>
      <c r="E14" s="18">
        <v>0</v>
      </c>
      <c r="F14" s="18"/>
      <c r="G14" s="22"/>
      <c r="H14" s="18"/>
      <c r="I14" s="18"/>
      <c r="J14" s="18"/>
      <c r="K14" s="18">
        <v>91646.01</v>
      </c>
      <c r="L14" s="18"/>
      <c r="M14" s="18"/>
      <c r="N14" s="20">
        <f>(E14+F14+G14+H14+I14+J14+K14+L14)</f>
        <v>91646.01</v>
      </c>
      <c r="P14" s="7"/>
    </row>
    <row r="15" spans="1:16" ht="30.75" customHeight="1" x14ac:dyDescent="0.4">
      <c r="A15" s="40">
        <v>10</v>
      </c>
      <c r="B15" s="41" t="s">
        <v>19</v>
      </c>
      <c r="C15" s="42" t="s">
        <v>196</v>
      </c>
      <c r="D15" s="42" t="s">
        <v>288</v>
      </c>
      <c r="E15" s="18">
        <v>0</v>
      </c>
      <c r="F15" s="18"/>
      <c r="G15" s="22"/>
      <c r="H15" s="18"/>
      <c r="I15" s="18"/>
      <c r="J15" s="18">
        <v>93928</v>
      </c>
      <c r="K15" s="18"/>
      <c r="L15" s="18"/>
      <c r="M15" s="18"/>
      <c r="N15" s="20">
        <f>(E15+F15+G15+H15+I15+J15+L15)</f>
        <v>93928</v>
      </c>
      <c r="P15" s="7"/>
    </row>
    <row r="16" spans="1:16" ht="28.5" customHeight="1" x14ac:dyDescent="0.4">
      <c r="A16" s="40">
        <v>11</v>
      </c>
      <c r="B16" s="41" t="s">
        <v>20</v>
      </c>
      <c r="C16" s="42" t="s">
        <v>197</v>
      </c>
      <c r="D16" s="42" t="s">
        <v>288</v>
      </c>
      <c r="E16" s="18">
        <v>1141844.1399999999</v>
      </c>
      <c r="F16" s="18"/>
      <c r="G16" s="22"/>
      <c r="H16" s="18"/>
      <c r="I16" s="18"/>
      <c r="J16" s="18"/>
      <c r="K16" s="18"/>
      <c r="L16" s="18"/>
      <c r="M16" s="18"/>
      <c r="N16" s="20">
        <f>E16+F16+G16+H16+I16</f>
        <v>1141844.1399999999</v>
      </c>
      <c r="P16" s="7"/>
    </row>
    <row r="17" spans="1:16" ht="27" customHeight="1" x14ac:dyDescent="0.4">
      <c r="A17" s="40">
        <v>12</v>
      </c>
      <c r="B17" s="41" t="s">
        <v>21</v>
      </c>
      <c r="C17" s="42" t="s">
        <v>198</v>
      </c>
      <c r="D17" s="42" t="s">
        <v>288</v>
      </c>
      <c r="E17" s="18"/>
      <c r="F17" s="18"/>
      <c r="G17" s="22"/>
      <c r="H17" s="18"/>
      <c r="I17" s="18"/>
      <c r="J17" s="18"/>
      <c r="K17" s="18"/>
      <c r="L17" s="18"/>
      <c r="M17" s="18"/>
      <c r="N17" s="20">
        <f>E17+F17+G17+H17+I17</f>
        <v>0</v>
      </c>
      <c r="P17" s="7"/>
    </row>
    <row r="18" spans="1:16" ht="24" customHeight="1" x14ac:dyDescent="0.4">
      <c r="A18" s="40">
        <v>13</v>
      </c>
      <c r="B18" s="41" t="s">
        <v>22</v>
      </c>
      <c r="C18" s="42" t="s">
        <v>193</v>
      </c>
      <c r="D18" s="42" t="s">
        <v>288</v>
      </c>
      <c r="E18" s="18">
        <v>0</v>
      </c>
      <c r="F18" s="18"/>
      <c r="G18" s="23">
        <v>0</v>
      </c>
      <c r="H18" s="18"/>
      <c r="I18" s="18"/>
      <c r="J18" s="18"/>
      <c r="K18" s="18">
        <v>65900</v>
      </c>
      <c r="L18" s="18">
        <f>(38364+87200+17300)</f>
        <v>142864</v>
      </c>
      <c r="M18" s="18"/>
      <c r="N18" s="20">
        <f>(E18+F18+G18+H18+I18+J18+K18+L18)</f>
        <v>208764</v>
      </c>
      <c r="P18" s="7"/>
    </row>
    <row r="19" spans="1:16" ht="22.5" customHeight="1" x14ac:dyDescent="0.4">
      <c r="A19" s="40">
        <v>14</v>
      </c>
      <c r="B19" s="41" t="s">
        <v>23</v>
      </c>
      <c r="C19" s="42" t="s">
        <v>199</v>
      </c>
      <c r="D19" s="42" t="s">
        <v>288</v>
      </c>
      <c r="E19" s="18">
        <v>0</v>
      </c>
      <c r="F19" s="18">
        <v>30000</v>
      </c>
      <c r="G19" s="22">
        <v>20000</v>
      </c>
      <c r="H19" s="18"/>
      <c r="I19" s="18"/>
      <c r="J19" s="18"/>
      <c r="K19" s="18"/>
      <c r="L19" s="18">
        <v>10000</v>
      </c>
      <c r="M19" s="18"/>
      <c r="N19" s="20">
        <f>E19+F19+G19+H19+I19+J19+K19+L19</f>
        <v>60000</v>
      </c>
      <c r="P19" s="7"/>
    </row>
    <row r="20" spans="1:16" ht="25.5" customHeight="1" x14ac:dyDescent="0.4">
      <c r="A20" s="40">
        <v>16</v>
      </c>
      <c r="B20" s="41" t="s">
        <v>24</v>
      </c>
      <c r="C20" s="42" t="s">
        <v>200</v>
      </c>
      <c r="D20" s="42" t="s">
        <v>288</v>
      </c>
      <c r="E20" s="18">
        <v>0</v>
      </c>
      <c r="F20" s="18">
        <v>12000</v>
      </c>
      <c r="G20" s="22"/>
      <c r="H20" s="18"/>
      <c r="I20" s="18"/>
      <c r="J20" s="18"/>
      <c r="K20" s="18"/>
      <c r="L20" s="18"/>
      <c r="M20" s="18"/>
      <c r="N20" s="20">
        <f>E20+F20+G20+H20+I20</f>
        <v>12000</v>
      </c>
      <c r="P20" s="7"/>
    </row>
    <row r="21" spans="1:16" ht="26.25" customHeight="1" x14ac:dyDescent="0.4">
      <c r="A21" s="40"/>
      <c r="B21" s="41" t="s">
        <v>312</v>
      </c>
      <c r="C21" s="42" t="s">
        <v>201</v>
      </c>
      <c r="D21" s="42" t="s">
        <v>288</v>
      </c>
      <c r="E21" s="18">
        <v>0</v>
      </c>
      <c r="F21" s="18">
        <v>0</v>
      </c>
      <c r="G21" s="22"/>
      <c r="H21" s="18"/>
      <c r="I21" s="18"/>
      <c r="J21" s="18"/>
      <c r="K21" s="18"/>
      <c r="L21" s="18">
        <f>(269691.2)</f>
        <v>269691.2</v>
      </c>
      <c r="M21" s="18"/>
      <c r="N21" s="20">
        <f>(E21+F21+G21+H21+I21+J21+K21+L21)</f>
        <v>269691.2</v>
      </c>
      <c r="P21" s="7"/>
    </row>
    <row r="22" spans="1:16" ht="32.25" customHeight="1" x14ac:dyDescent="0.4">
      <c r="A22" s="40"/>
      <c r="B22" s="41" t="s">
        <v>25</v>
      </c>
      <c r="C22" s="42" t="s">
        <v>202</v>
      </c>
      <c r="D22" s="44" t="s">
        <v>288</v>
      </c>
      <c r="E22" s="18">
        <v>0</v>
      </c>
      <c r="F22" s="18">
        <v>0</v>
      </c>
      <c r="G22" s="22"/>
      <c r="H22" s="18"/>
      <c r="I22" s="18"/>
      <c r="J22" s="18">
        <f>(254354.04)</f>
        <v>254354.04</v>
      </c>
      <c r="K22" s="18">
        <v>78578.7</v>
      </c>
      <c r="L22" s="18">
        <f>(4899.4+258177.92)</f>
        <v>263077.32</v>
      </c>
      <c r="M22" s="18"/>
      <c r="N22" s="20">
        <f>(E22+F22+G22+H22+I22+J22+K22+L22)</f>
        <v>596010.06000000006</v>
      </c>
      <c r="P22" s="7"/>
    </row>
    <row r="23" spans="1:16" ht="36.75" customHeight="1" x14ac:dyDescent="0.4">
      <c r="A23" s="40"/>
      <c r="B23" s="41" t="s">
        <v>26</v>
      </c>
      <c r="C23" s="42"/>
      <c r="D23" s="42" t="s">
        <v>288</v>
      </c>
      <c r="E23" s="18">
        <v>0</v>
      </c>
      <c r="F23" s="18">
        <v>0</v>
      </c>
      <c r="G23" s="22"/>
      <c r="H23" s="18"/>
      <c r="I23" s="18"/>
      <c r="J23" s="18"/>
      <c r="K23" s="18"/>
      <c r="L23" s="18"/>
      <c r="M23" s="18"/>
      <c r="N23" s="20"/>
      <c r="P23" s="7"/>
    </row>
    <row r="24" spans="1:16" ht="21" customHeight="1" x14ac:dyDescent="0.4">
      <c r="A24" s="40"/>
      <c r="B24" s="41" t="s">
        <v>27</v>
      </c>
      <c r="C24" s="42" t="s">
        <v>194</v>
      </c>
      <c r="D24" s="42" t="s">
        <v>288</v>
      </c>
      <c r="E24" s="18">
        <v>0</v>
      </c>
      <c r="F24" s="18"/>
      <c r="G24" s="22"/>
      <c r="H24" s="18"/>
      <c r="I24" s="18"/>
      <c r="J24" s="18"/>
      <c r="K24" s="18"/>
      <c r="L24" s="18"/>
      <c r="M24" s="18"/>
      <c r="N24" s="20"/>
      <c r="P24" s="7"/>
    </row>
    <row r="25" spans="1:16" ht="27.75" customHeight="1" x14ac:dyDescent="0.4">
      <c r="A25" s="40"/>
      <c r="B25" s="41" t="s">
        <v>28</v>
      </c>
      <c r="C25" s="42" t="s">
        <v>203</v>
      </c>
      <c r="D25" s="42" t="s">
        <v>288</v>
      </c>
      <c r="E25" s="21">
        <f>(3600+13711.7)</f>
        <v>17311.7</v>
      </c>
      <c r="F25" s="18">
        <v>7851.24</v>
      </c>
      <c r="G25" s="22"/>
      <c r="H25" s="18"/>
      <c r="I25" s="18"/>
      <c r="J25" s="18"/>
      <c r="K25" s="18"/>
      <c r="L25" s="18"/>
      <c r="M25" s="18"/>
      <c r="N25" s="20">
        <f t="shared" ref="N25:N34" si="0">(E25++F25+G25+H25+I25)</f>
        <v>25162.940000000002</v>
      </c>
      <c r="P25" s="7"/>
    </row>
    <row r="26" spans="1:16" ht="18.75" customHeight="1" x14ac:dyDescent="0.4">
      <c r="A26" s="40"/>
      <c r="B26" s="41" t="s">
        <v>29</v>
      </c>
      <c r="C26" s="42"/>
      <c r="D26" s="42" t="s">
        <v>288</v>
      </c>
      <c r="E26" s="18">
        <v>0</v>
      </c>
      <c r="F26" s="18"/>
      <c r="G26" s="22"/>
      <c r="H26" s="18"/>
      <c r="I26" s="18"/>
      <c r="J26" s="18"/>
      <c r="K26" s="18"/>
      <c r="L26" s="18"/>
      <c r="M26" s="18">
        <v>7670</v>
      </c>
      <c r="N26" s="20">
        <f>(E26++F26+G26+H26+I26+J26+K26+L26+M26)</f>
        <v>7670</v>
      </c>
      <c r="P26" s="7"/>
    </row>
    <row r="27" spans="1:16" ht="32.25" customHeight="1" x14ac:dyDescent="0.4">
      <c r="A27" s="40"/>
      <c r="B27" s="41" t="s">
        <v>30</v>
      </c>
      <c r="C27" s="42" t="s">
        <v>194</v>
      </c>
      <c r="D27" s="42" t="s">
        <v>288</v>
      </c>
      <c r="E27" s="18">
        <v>86700</v>
      </c>
      <c r="F27" s="18">
        <v>0</v>
      </c>
      <c r="G27" s="22"/>
      <c r="H27" s="18"/>
      <c r="I27" s="18"/>
      <c r="J27" s="18"/>
      <c r="K27" s="18"/>
      <c r="L27" s="18"/>
      <c r="M27" s="18"/>
      <c r="N27" s="20">
        <f t="shared" si="0"/>
        <v>86700</v>
      </c>
      <c r="P27" s="7"/>
    </row>
    <row r="28" spans="1:16" ht="25.5" customHeight="1" x14ac:dyDescent="0.4">
      <c r="A28" s="40"/>
      <c r="B28" s="41" t="s">
        <v>31</v>
      </c>
      <c r="C28" s="42" t="s">
        <v>193</v>
      </c>
      <c r="D28" s="42"/>
      <c r="E28" s="18">
        <v>0</v>
      </c>
      <c r="F28" s="18">
        <v>0</v>
      </c>
      <c r="G28" s="22"/>
      <c r="H28" s="18"/>
      <c r="I28" s="18"/>
      <c r="J28" s="18"/>
      <c r="K28" s="18"/>
      <c r="L28" s="18"/>
      <c r="M28" s="18"/>
      <c r="N28" s="20">
        <f t="shared" si="0"/>
        <v>0</v>
      </c>
      <c r="P28" s="7"/>
    </row>
    <row r="29" spans="1:16" ht="23.25" customHeight="1" x14ac:dyDescent="0.4">
      <c r="A29" s="40"/>
      <c r="B29" s="41" t="s">
        <v>32</v>
      </c>
      <c r="C29" s="42" t="s">
        <v>204</v>
      </c>
      <c r="D29" s="42" t="s">
        <v>288</v>
      </c>
      <c r="E29" s="21">
        <v>17995</v>
      </c>
      <c r="F29" s="18">
        <v>0</v>
      </c>
      <c r="G29" s="22"/>
      <c r="H29" s="18"/>
      <c r="I29" s="18"/>
      <c r="J29" s="18"/>
      <c r="K29" s="18"/>
      <c r="L29" s="18"/>
      <c r="M29" s="18"/>
      <c r="N29" s="20">
        <f t="shared" si="0"/>
        <v>17995</v>
      </c>
      <c r="P29" s="7"/>
    </row>
    <row r="30" spans="1:16" ht="29.25" customHeight="1" x14ac:dyDescent="0.4">
      <c r="A30" s="40"/>
      <c r="B30" s="41" t="s">
        <v>33</v>
      </c>
      <c r="C30" s="42" t="s">
        <v>205</v>
      </c>
      <c r="D30" s="42" t="s">
        <v>288</v>
      </c>
      <c r="E30" s="18">
        <v>90000</v>
      </c>
      <c r="F30" s="18">
        <v>0</v>
      </c>
      <c r="G30" s="22"/>
      <c r="H30" s="18"/>
      <c r="I30" s="18"/>
      <c r="J30" s="18"/>
      <c r="K30" s="18"/>
      <c r="L30" s="18"/>
      <c r="M30" s="18"/>
      <c r="N30" s="20">
        <f t="shared" si="0"/>
        <v>90000</v>
      </c>
      <c r="P30" s="7"/>
    </row>
    <row r="31" spans="1:16" ht="23.25" customHeight="1" x14ac:dyDescent="0.4">
      <c r="A31" s="40"/>
      <c r="B31" s="41" t="s">
        <v>34</v>
      </c>
      <c r="C31" s="42" t="s">
        <v>206</v>
      </c>
      <c r="D31" s="42" t="s">
        <v>288</v>
      </c>
      <c r="E31" s="18">
        <v>0</v>
      </c>
      <c r="F31" s="18">
        <v>0</v>
      </c>
      <c r="G31" s="22"/>
      <c r="H31" s="18"/>
      <c r="I31" s="18"/>
      <c r="J31" s="18"/>
      <c r="K31" s="18"/>
      <c r="L31" s="18"/>
      <c r="M31" s="18"/>
      <c r="N31" s="20">
        <f t="shared" si="0"/>
        <v>0</v>
      </c>
      <c r="P31" s="7"/>
    </row>
    <row r="32" spans="1:16" ht="23.25" customHeight="1" x14ac:dyDescent="0.4">
      <c r="A32" s="40"/>
      <c r="B32" s="41" t="s">
        <v>35</v>
      </c>
      <c r="C32" s="42" t="s">
        <v>207</v>
      </c>
      <c r="D32" s="42" t="s">
        <v>288</v>
      </c>
      <c r="E32" s="18">
        <v>90975</v>
      </c>
      <c r="F32" s="18">
        <v>90550</v>
      </c>
      <c r="G32" s="22"/>
      <c r="H32" s="18"/>
      <c r="I32" s="18"/>
      <c r="J32" s="18"/>
      <c r="K32" s="18"/>
      <c r="L32" s="18"/>
      <c r="M32" s="18"/>
      <c r="N32" s="20">
        <f t="shared" si="0"/>
        <v>181525</v>
      </c>
      <c r="P32" s="7"/>
    </row>
    <row r="33" spans="1:16" ht="22.5" customHeight="1" x14ac:dyDescent="0.4">
      <c r="A33" s="40"/>
      <c r="B33" s="41" t="s">
        <v>36</v>
      </c>
      <c r="C33" s="42"/>
      <c r="D33" s="42" t="s">
        <v>288</v>
      </c>
      <c r="E33" s="18"/>
      <c r="F33" s="18"/>
      <c r="G33" s="22"/>
      <c r="H33" s="18"/>
      <c r="I33" s="18"/>
      <c r="J33" s="18"/>
      <c r="K33" s="18"/>
      <c r="L33" s="18"/>
      <c r="M33" s="18"/>
      <c r="N33" s="20">
        <f t="shared" si="0"/>
        <v>0</v>
      </c>
      <c r="P33" s="7"/>
    </row>
    <row r="34" spans="1:16" ht="28.5" customHeight="1" x14ac:dyDescent="0.4">
      <c r="A34" s="40"/>
      <c r="B34" s="41" t="s">
        <v>37</v>
      </c>
      <c r="C34" s="42" t="s">
        <v>208</v>
      </c>
      <c r="D34" s="42" t="s">
        <v>288</v>
      </c>
      <c r="E34" s="18">
        <v>149659.4</v>
      </c>
      <c r="F34" s="18">
        <v>0</v>
      </c>
      <c r="G34" s="22"/>
      <c r="H34" s="18"/>
      <c r="I34" s="18"/>
      <c r="J34" s="18"/>
      <c r="K34" s="18"/>
      <c r="L34" s="18"/>
      <c r="M34" s="18"/>
      <c r="N34" s="20">
        <f t="shared" si="0"/>
        <v>149659.4</v>
      </c>
      <c r="P34" s="7"/>
    </row>
    <row r="35" spans="1:16" ht="30" customHeight="1" x14ac:dyDescent="0.4">
      <c r="A35" s="40"/>
      <c r="B35" s="41" t="s">
        <v>38</v>
      </c>
      <c r="C35" s="42" t="s">
        <v>209</v>
      </c>
      <c r="D35" s="42" t="s">
        <v>288</v>
      </c>
      <c r="E35" s="18">
        <v>0</v>
      </c>
      <c r="F35" s="18"/>
      <c r="G35" s="22"/>
      <c r="H35" s="18"/>
      <c r="I35" s="18"/>
      <c r="J35" s="18"/>
      <c r="K35" s="18">
        <v>116784.03</v>
      </c>
      <c r="L35" s="18">
        <f>(203000.03+88500)</f>
        <v>291500.03000000003</v>
      </c>
      <c r="M35" s="18"/>
      <c r="N35" s="20">
        <f>(E35++F35+G35+H35+I35+J35+K35+L35)</f>
        <v>408284.06000000006</v>
      </c>
      <c r="P35" s="7"/>
    </row>
    <row r="36" spans="1:16" ht="28.5" customHeight="1" x14ac:dyDescent="0.4">
      <c r="A36" s="40"/>
      <c r="B36" s="41" t="s">
        <v>39</v>
      </c>
      <c r="C36" s="42" t="s">
        <v>194</v>
      </c>
      <c r="D36" s="42" t="s">
        <v>288</v>
      </c>
      <c r="E36" s="18"/>
      <c r="F36" s="18"/>
      <c r="G36" s="22"/>
      <c r="H36" s="18"/>
      <c r="I36" s="18">
        <f>(49572.3+118692.4+4948.92)</f>
        <v>173213.62000000002</v>
      </c>
      <c r="J36" s="18">
        <f>(30860+61250+100000)</f>
        <v>192110</v>
      </c>
      <c r="K36" s="18">
        <f>(24000+166590+55500)</f>
        <v>246090</v>
      </c>
      <c r="L36" s="18">
        <v>129440</v>
      </c>
      <c r="M36" s="18">
        <f>(57000+17000)</f>
        <v>74000</v>
      </c>
      <c r="N36" s="20">
        <f>(E36++F36+G36+H36+I36+J36+K36+L36+M36)</f>
        <v>814853.62</v>
      </c>
      <c r="P36" s="7"/>
    </row>
    <row r="37" spans="1:16" ht="26.25" customHeight="1" x14ac:dyDescent="0.4">
      <c r="A37" s="40"/>
      <c r="B37" s="41" t="s">
        <v>40</v>
      </c>
      <c r="C37" s="42" t="s">
        <v>191</v>
      </c>
      <c r="D37" s="43" t="s">
        <v>288</v>
      </c>
      <c r="E37" s="18">
        <v>0</v>
      </c>
      <c r="F37" s="18">
        <v>0</v>
      </c>
      <c r="G37" s="22"/>
      <c r="H37" s="18"/>
      <c r="I37" s="18"/>
      <c r="J37" s="18"/>
      <c r="K37" s="18"/>
      <c r="L37" s="18"/>
      <c r="M37" s="18"/>
      <c r="N37" s="20">
        <f>(E37++F37+G37+H37+I37+J37+K37+L37)</f>
        <v>0</v>
      </c>
      <c r="P37" s="7"/>
    </row>
    <row r="38" spans="1:16" ht="23.25" customHeight="1" x14ac:dyDescent="0.4">
      <c r="A38" s="40"/>
      <c r="B38" s="41" t="s">
        <v>41</v>
      </c>
      <c r="C38" s="42" t="s">
        <v>210</v>
      </c>
      <c r="D38" s="42" t="s">
        <v>288</v>
      </c>
      <c r="E38" s="18"/>
      <c r="F38" s="18"/>
      <c r="G38" s="22">
        <v>6000</v>
      </c>
      <c r="H38" s="18"/>
      <c r="I38" s="18"/>
      <c r="J38" s="18"/>
      <c r="K38" s="18"/>
      <c r="L38" s="18"/>
      <c r="M38" s="18"/>
      <c r="N38" s="20">
        <f>(E38++F38+G38+H38+I38)</f>
        <v>6000</v>
      </c>
      <c r="P38" s="7"/>
    </row>
    <row r="39" spans="1:16" ht="23.25" customHeight="1" x14ac:dyDescent="0.4">
      <c r="A39" s="40"/>
      <c r="B39" s="41" t="s">
        <v>42</v>
      </c>
      <c r="C39" s="42" t="s">
        <v>211</v>
      </c>
      <c r="D39" s="42" t="s">
        <v>288</v>
      </c>
      <c r="E39" s="18"/>
      <c r="F39" s="18"/>
      <c r="G39" s="22"/>
      <c r="H39" s="18"/>
      <c r="I39" s="18"/>
      <c r="J39" s="18"/>
      <c r="K39" s="18"/>
      <c r="L39" s="18"/>
      <c r="M39" s="18">
        <v>98322.8</v>
      </c>
      <c r="N39" s="20">
        <f>(E39++F39+G39+H39+I39+K39+J39+L39+M39)</f>
        <v>98322.8</v>
      </c>
      <c r="P39" s="7"/>
    </row>
    <row r="40" spans="1:16" ht="30.75" customHeight="1" x14ac:dyDescent="0.4">
      <c r="A40" s="40"/>
      <c r="B40" s="41" t="s">
        <v>43</v>
      </c>
      <c r="C40" s="42" t="s">
        <v>212</v>
      </c>
      <c r="D40" s="45" t="s">
        <v>288</v>
      </c>
      <c r="E40" s="18">
        <v>45400</v>
      </c>
      <c r="F40" s="18"/>
      <c r="G40" s="22">
        <v>44820.380000000005</v>
      </c>
      <c r="H40" s="18"/>
      <c r="I40" s="18"/>
      <c r="J40" s="18"/>
      <c r="K40" s="18"/>
      <c r="L40" s="18"/>
      <c r="M40" s="18"/>
      <c r="N40" s="20">
        <f>(E40++F40+G40+H40+I40)</f>
        <v>90220.38</v>
      </c>
      <c r="P40" s="7"/>
    </row>
    <row r="41" spans="1:16" ht="23.25" customHeight="1" x14ac:dyDescent="0.4">
      <c r="A41" s="40"/>
      <c r="B41" s="41" t="s">
        <v>44</v>
      </c>
      <c r="C41" s="42" t="s">
        <v>213</v>
      </c>
      <c r="D41" s="42" t="s">
        <v>288</v>
      </c>
      <c r="E41" s="18"/>
      <c r="F41" s="18"/>
      <c r="G41" s="22"/>
      <c r="H41" s="18"/>
      <c r="I41" s="18">
        <v>25600.01</v>
      </c>
      <c r="J41" s="18"/>
      <c r="K41" s="18"/>
      <c r="L41" s="18"/>
      <c r="M41" s="18"/>
      <c r="N41" s="20">
        <f>(E41++F41+G41+H41+I41+J41+K41)</f>
        <v>25600.01</v>
      </c>
      <c r="P41" s="7"/>
    </row>
    <row r="42" spans="1:16" ht="27" customHeight="1" x14ac:dyDescent="0.4">
      <c r="A42" s="40"/>
      <c r="B42" s="41" t="s">
        <v>45</v>
      </c>
      <c r="C42" s="42" t="s">
        <v>214</v>
      </c>
      <c r="D42" s="42" t="s">
        <v>288</v>
      </c>
      <c r="E42" s="18">
        <v>1167856.02</v>
      </c>
      <c r="F42" s="18"/>
      <c r="G42" s="22"/>
      <c r="H42" s="18"/>
      <c r="I42" s="18"/>
      <c r="J42" s="18"/>
      <c r="K42" s="18"/>
      <c r="L42" s="18"/>
      <c r="M42" s="18"/>
      <c r="N42" s="20">
        <f>(E42++F42+G42+H42+I42)</f>
        <v>1167856.02</v>
      </c>
      <c r="P42" s="7"/>
    </row>
    <row r="43" spans="1:16" ht="27.75" customHeight="1" x14ac:dyDescent="0.4">
      <c r="A43" s="40"/>
      <c r="B43" s="41" t="s">
        <v>46</v>
      </c>
      <c r="C43" s="42" t="s">
        <v>201</v>
      </c>
      <c r="D43" s="42" t="s">
        <v>288</v>
      </c>
      <c r="E43" s="18">
        <v>12950</v>
      </c>
      <c r="F43" s="18"/>
      <c r="G43" s="22"/>
      <c r="H43" s="18">
        <v>92500</v>
      </c>
      <c r="I43" s="18"/>
      <c r="J43" s="18">
        <v>86751.4</v>
      </c>
      <c r="K43" s="18"/>
      <c r="L43" s="18"/>
      <c r="M43" s="18"/>
      <c r="N43" s="20">
        <f>(E43++F43+G43+H43+I43+J43+K43)</f>
        <v>192201.4</v>
      </c>
      <c r="P43" s="7"/>
    </row>
    <row r="44" spans="1:16" ht="25.5" customHeight="1" x14ac:dyDescent="0.4">
      <c r="A44" s="40"/>
      <c r="B44" s="41" t="s">
        <v>47</v>
      </c>
      <c r="C44" s="42" t="s">
        <v>193</v>
      </c>
      <c r="D44" s="42" t="s">
        <v>288</v>
      </c>
      <c r="E44" s="18">
        <v>0</v>
      </c>
      <c r="F44" s="18"/>
      <c r="G44" s="22"/>
      <c r="H44" s="18">
        <v>127015.2</v>
      </c>
      <c r="I44" s="18"/>
      <c r="J44" s="18">
        <v>127440</v>
      </c>
      <c r="K44" s="18">
        <f>(23353.2+127440+26775)</f>
        <v>177568.2</v>
      </c>
      <c r="L44" s="18">
        <f>(125690+18390+129988.8+189103+44784)</f>
        <v>507955.8</v>
      </c>
      <c r="M44" s="18">
        <v>163917</v>
      </c>
      <c r="N44" s="20">
        <f>(E44++F44+G44+H44+I44+J44+K44+L44+M44)</f>
        <v>1103896.2</v>
      </c>
      <c r="P44" s="7"/>
    </row>
    <row r="45" spans="1:16" ht="26.25" customHeight="1" x14ac:dyDescent="0.4">
      <c r="A45" s="40"/>
      <c r="B45" s="41" t="s">
        <v>48</v>
      </c>
      <c r="C45" s="42" t="s">
        <v>215</v>
      </c>
      <c r="D45" s="42" t="s">
        <v>289</v>
      </c>
      <c r="E45" s="18">
        <v>0</v>
      </c>
      <c r="F45" s="18">
        <v>0</v>
      </c>
      <c r="G45" s="22"/>
      <c r="H45" s="18"/>
      <c r="I45" s="18"/>
      <c r="J45" s="18"/>
      <c r="K45" s="18"/>
      <c r="L45" s="18"/>
      <c r="M45" s="18"/>
      <c r="N45" s="20">
        <f>(E45++F45+G45+H45+I45)</f>
        <v>0</v>
      </c>
      <c r="P45" s="7"/>
    </row>
    <row r="46" spans="1:16" ht="25.5" customHeight="1" x14ac:dyDescent="0.4">
      <c r="A46" s="40">
        <v>17</v>
      </c>
      <c r="B46" s="41" t="s">
        <v>49</v>
      </c>
      <c r="C46" s="42" t="s">
        <v>197</v>
      </c>
      <c r="D46" s="42" t="s">
        <v>289</v>
      </c>
      <c r="E46" s="18">
        <v>11234</v>
      </c>
      <c r="F46" s="18"/>
      <c r="G46" s="22"/>
      <c r="H46" s="18"/>
      <c r="I46" s="18"/>
      <c r="J46" s="18"/>
      <c r="K46" s="18"/>
      <c r="L46" s="18"/>
      <c r="M46" s="18"/>
      <c r="N46" s="20">
        <f>E46+F46+G46+H46+I46</f>
        <v>11234</v>
      </c>
      <c r="P46" s="7"/>
    </row>
    <row r="47" spans="1:16" ht="26.25" customHeight="1" x14ac:dyDescent="0.4">
      <c r="A47" s="40"/>
      <c r="B47" s="41" t="s">
        <v>50</v>
      </c>
      <c r="C47" s="42" t="s">
        <v>216</v>
      </c>
      <c r="D47" s="42" t="s">
        <v>288</v>
      </c>
      <c r="E47" s="18">
        <v>272921.38</v>
      </c>
      <c r="F47" s="18"/>
      <c r="G47" s="22"/>
      <c r="H47" s="18"/>
      <c r="I47" s="18"/>
      <c r="J47" s="18"/>
      <c r="K47" s="18"/>
      <c r="L47" s="18"/>
      <c r="M47" s="18"/>
      <c r="N47" s="20">
        <f>E47+F47+G47+H47+I47</f>
        <v>272921.38</v>
      </c>
      <c r="P47" s="7"/>
    </row>
    <row r="48" spans="1:16" ht="24.75" customHeight="1" x14ac:dyDescent="0.4">
      <c r="A48" s="40"/>
      <c r="B48" s="41" t="s">
        <v>51</v>
      </c>
      <c r="C48" s="42" t="s">
        <v>217</v>
      </c>
      <c r="D48" s="42" t="s">
        <v>288</v>
      </c>
      <c r="E48" s="18">
        <v>0</v>
      </c>
      <c r="F48" s="18">
        <v>1539.9</v>
      </c>
      <c r="G48" s="22"/>
      <c r="H48" s="18"/>
      <c r="I48" s="18"/>
      <c r="J48" s="18"/>
      <c r="K48" s="18"/>
      <c r="L48" s="18"/>
      <c r="M48" s="18"/>
      <c r="N48" s="20">
        <f>E48+F48+G48+H48+I48</f>
        <v>1539.9</v>
      </c>
      <c r="P48" s="7"/>
    </row>
    <row r="49" spans="1:16" ht="25.5" customHeight="1" x14ac:dyDescent="0.4">
      <c r="A49" s="40"/>
      <c r="B49" s="41" t="s">
        <v>52</v>
      </c>
      <c r="C49" s="42" t="s">
        <v>198</v>
      </c>
      <c r="D49" s="42" t="s">
        <v>288</v>
      </c>
      <c r="E49" s="18">
        <v>0</v>
      </c>
      <c r="F49" s="18">
        <v>0</v>
      </c>
      <c r="G49" s="22">
        <v>36462</v>
      </c>
      <c r="H49" s="18">
        <v>12508</v>
      </c>
      <c r="I49" s="18">
        <v>22302</v>
      </c>
      <c r="J49" s="18">
        <v>18821</v>
      </c>
      <c r="K49" s="18"/>
      <c r="L49" s="18"/>
      <c r="M49" s="18"/>
      <c r="N49" s="20">
        <f>E49+F49+G49+H49+I49+J49+K49</f>
        <v>90093</v>
      </c>
      <c r="P49" s="7"/>
    </row>
    <row r="50" spans="1:16" ht="30.75" customHeight="1" x14ac:dyDescent="0.4">
      <c r="A50" s="40"/>
      <c r="B50" s="41" t="s">
        <v>53</v>
      </c>
      <c r="C50" s="42" t="s">
        <v>218</v>
      </c>
      <c r="D50" s="42" t="s">
        <v>288</v>
      </c>
      <c r="E50" s="18"/>
      <c r="F50" s="18"/>
      <c r="G50" s="22"/>
      <c r="H50" s="18"/>
      <c r="I50" s="18"/>
      <c r="J50" s="18"/>
      <c r="K50" s="18"/>
      <c r="L50" s="18">
        <f>(15517+75520)</f>
        <v>91037</v>
      </c>
      <c r="M50" s="18"/>
      <c r="N50" s="20">
        <f>E50+F50+G50+H50+I4+J50+K50+L50</f>
        <v>91037</v>
      </c>
      <c r="P50" s="7"/>
    </row>
    <row r="51" spans="1:16" ht="21" customHeight="1" x14ac:dyDescent="0.4">
      <c r="A51" s="40"/>
      <c r="B51" s="41" t="s">
        <v>54</v>
      </c>
      <c r="C51" s="42" t="s">
        <v>213</v>
      </c>
      <c r="D51" s="42"/>
      <c r="E51" s="18">
        <v>423595</v>
      </c>
      <c r="F51" s="18"/>
      <c r="G51" s="22"/>
      <c r="H51" s="18"/>
      <c r="I51" s="18"/>
      <c r="J51" s="18"/>
      <c r="K51" s="18"/>
      <c r="L51" s="18"/>
      <c r="M51" s="18"/>
      <c r="N51" s="20">
        <f t="shared" ref="N51:N55" si="1">E51+F51+G51+H51+I51</f>
        <v>423595</v>
      </c>
      <c r="P51" s="7"/>
    </row>
    <row r="52" spans="1:16" ht="21" customHeight="1" x14ac:dyDescent="0.4">
      <c r="A52" s="40"/>
      <c r="B52" s="41" t="s">
        <v>55</v>
      </c>
      <c r="C52" s="42" t="s">
        <v>219</v>
      </c>
      <c r="D52" s="42" t="s">
        <v>288</v>
      </c>
      <c r="E52" s="18">
        <v>159730.70000000001</v>
      </c>
      <c r="F52" s="18">
        <v>0</v>
      </c>
      <c r="G52" s="22"/>
      <c r="H52" s="18"/>
      <c r="I52" s="18"/>
      <c r="J52" s="18"/>
      <c r="K52" s="18"/>
      <c r="L52" s="18"/>
      <c r="M52" s="18"/>
      <c r="N52" s="20">
        <f t="shared" si="1"/>
        <v>159730.70000000001</v>
      </c>
      <c r="P52" s="7"/>
    </row>
    <row r="53" spans="1:16" ht="19.5" customHeight="1" x14ac:dyDescent="0.4">
      <c r="A53" s="40"/>
      <c r="B53" s="41" t="s">
        <v>56</v>
      </c>
      <c r="C53" s="42" t="s">
        <v>220</v>
      </c>
      <c r="D53" s="42" t="s">
        <v>288</v>
      </c>
      <c r="E53" s="18">
        <v>263782.18000000005</v>
      </c>
      <c r="F53" s="18">
        <v>0</v>
      </c>
      <c r="G53" s="22"/>
      <c r="H53" s="18"/>
      <c r="I53" s="18"/>
      <c r="J53" s="18"/>
      <c r="K53" s="18"/>
      <c r="L53" s="18"/>
      <c r="M53" s="18"/>
      <c r="N53" s="20">
        <f t="shared" si="1"/>
        <v>263782.18000000005</v>
      </c>
      <c r="P53" s="7"/>
    </row>
    <row r="54" spans="1:16" ht="26.25" x14ac:dyDescent="0.4">
      <c r="A54" s="40"/>
      <c r="B54" s="41" t="s">
        <v>57</v>
      </c>
      <c r="C54" s="42" t="s">
        <v>221</v>
      </c>
      <c r="D54" s="42" t="s">
        <v>288</v>
      </c>
      <c r="E54" s="18"/>
      <c r="F54" s="18"/>
      <c r="G54" s="22"/>
      <c r="H54" s="18"/>
      <c r="I54" s="18"/>
      <c r="J54" s="18"/>
      <c r="K54" s="18">
        <v>51200</v>
      </c>
      <c r="L54" s="18">
        <v>35400</v>
      </c>
      <c r="M54" s="18"/>
      <c r="N54" s="20">
        <f>E54+F54+G54+H54+I54+J54+K54+L54</f>
        <v>86600</v>
      </c>
      <c r="P54" s="7"/>
    </row>
    <row r="55" spans="1:16" ht="21.75" customHeight="1" x14ac:dyDescent="0.4">
      <c r="A55" s="40"/>
      <c r="B55" s="41" t="s">
        <v>58</v>
      </c>
      <c r="C55" s="42" t="s">
        <v>222</v>
      </c>
      <c r="D55" s="42" t="s">
        <v>288</v>
      </c>
      <c r="E55" s="24"/>
      <c r="F55" s="24">
        <v>0</v>
      </c>
      <c r="G55" s="22">
        <v>327184</v>
      </c>
      <c r="H55" s="18"/>
      <c r="I55" s="18"/>
      <c r="J55" s="18"/>
      <c r="K55" s="18"/>
      <c r="L55" s="18"/>
      <c r="M55" s="18"/>
      <c r="N55" s="20">
        <f t="shared" si="1"/>
        <v>327184</v>
      </c>
      <c r="P55" s="7"/>
    </row>
    <row r="56" spans="1:16" ht="22.5" customHeight="1" x14ac:dyDescent="0.4">
      <c r="A56" s="40"/>
      <c r="B56" s="46" t="s">
        <v>306</v>
      </c>
      <c r="C56" s="43" t="s">
        <v>214</v>
      </c>
      <c r="D56" s="43" t="s">
        <v>288</v>
      </c>
      <c r="E56" s="25">
        <v>0</v>
      </c>
      <c r="F56" s="25">
        <v>0</v>
      </c>
      <c r="G56" s="22"/>
      <c r="H56" s="25"/>
      <c r="I56" s="25">
        <v>36034.65</v>
      </c>
      <c r="J56" s="25"/>
      <c r="K56" s="25"/>
      <c r="L56" s="18"/>
      <c r="M56" s="18">
        <v>26689</v>
      </c>
      <c r="N56" s="26">
        <f>E56+F56+G56+H56+I56+J56+K56+L56+M56</f>
        <v>62723.65</v>
      </c>
      <c r="P56" s="7"/>
    </row>
    <row r="57" spans="1:16" ht="24.75" customHeight="1" x14ac:dyDescent="0.4">
      <c r="A57" s="40"/>
      <c r="B57" s="41" t="s">
        <v>59</v>
      </c>
      <c r="C57" s="42" t="s">
        <v>194</v>
      </c>
      <c r="D57" s="42" t="s">
        <v>288</v>
      </c>
      <c r="E57" s="18"/>
      <c r="F57" s="18"/>
      <c r="G57" s="22"/>
      <c r="H57" s="18"/>
      <c r="I57" s="18"/>
      <c r="J57" s="18"/>
      <c r="K57" s="18"/>
      <c r="L57" s="18"/>
      <c r="M57" s="18"/>
      <c r="N57" s="20">
        <f>E57+F57+G57+H57+I57+J57</f>
        <v>0</v>
      </c>
      <c r="P57" s="7"/>
    </row>
    <row r="58" spans="1:16" ht="21" customHeight="1" x14ac:dyDescent="0.4">
      <c r="A58" s="40"/>
      <c r="B58" s="41" t="s">
        <v>60</v>
      </c>
      <c r="C58" s="42" t="s">
        <v>194</v>
      </c>
      <c r="D58" s="42" t="s">
        <v>288</v>
      </c>
      <c r="E58" s="21">
        <v>14250</v>
      </c>
      <c r="F58" s="18"/>
      <c r="G58" s="22">
        <v>875</v>
      </c>
      <c r="H58" s="18"/>
      <c r="I58" s="18"/>
      <c r="J58" s="18"/>
      <c r="K58" s="18"/>
      <c r="L58" s="18"/>
      <c r="M58" s="18">
        <f>(650)</f>
        <v>650</v>
      </c>
      <c r="N58" s="20">
        <f>E58+F58+G58+H58+I58+J58+K58+L58+M58</f>
        <v>15775</v>
      </c>
      <c r="P58" s="7"/>
    </row>
    <row r="59" spans="1:16" ht="23.25" customHeight="1" x14ac:dyDescent="0.4">
      <c r="A59" s="40"/>
      <c r="B59" s="41" t="s">
        <v>61</v>
      </c>
      <c r="C59" s="42" t="s">
        <v>194</v>
      </c>
      <c r="D59" s="42" t="s">
        <v>288</v>
      </c>
      <c r="E59" s="18">
        <v>179900</v>
      </c>
      <c r="F59" s="18">
        <v>0</v>
      </c>
      <c r="G59" s="22"/>
      <c r="H59" s="18"/>
      <c r="I59" s="18"/>
      <c r="J59" s="18"/>
      <c r="K59" s="18"/>
      <c r="L59" s="18"/>
      <c r="M59" s="18"/>
      <c r="N59" s="20">
        <f>E59+F59+G59+H59+I59</f>
        <v>179900</v>
      </c>
      <c r="P59" s="7"/>
    </row>
    <row r="60" spans="1:16" ht="30.75" customHeight="1" x14ac:dyDescent="0.4">
      <c r="A60" s="40"/>
      <c r="B60" s="41" t="s">
        <v>62</v>
      </c>
      <c r="C60" s="42" t="s">
        <v>223</v>
      </c>
      <c r="D60" s="42" t="s">
        <v>289</v>
      </c>
      <c r="E60" s="18">
        <v>0</v>
      </c>
      <c r="F60" s="18">
        <v>0</v>
      </c>
      <c r="G60" s="22"/>
      <c r="H60" s="18"/>
      <c r="I60" s="18"/>
      <c r="J60" s="18"/>
      <c r="K60" s="18"/>
      <c r="L60" s="18"/>
      <c r="M60" s="18"/>
      <c r="N60" s="20">
        <f>E60+F60+G60+H60+I60</f>
        <v>0</v>
      </c>
      <c r="P60" s="7"/>
    </row>
    <row r="61" spans="1:16" ht="25.5" customHeight="1" x14ac:dyDescent="0.4">
      <c r="A61" s="40"/>
      <c r="B61" s="41" t="s">
        <v>63</v>
      </c>
      <c r="C61" s="42" t="s">
        <v>224</v>
      </c>
      <c r="D61" s="42" t="s">
        <v>289</v>
      </c>
      <c r="E61" s="21"/>
      <c r="F61" s="18">
        <v>0</v>
      </c>
      <c r="G61" s="22"/>
      <c r="H61" s="18"/>
      <c r="I61" s="18"/>
      <c r="J61" s="18"/>
      <c r="K61" s="18"/>
      <c r="L61" s="18"/>
      <c r="M61" s="18"/>
      <c r="N61" s="20">
        <f>E61+F61+G61+H61+I61</f>
        <v>0</v>
      </c>
      <c r="P61" s="7"/>
    </row>
    <row r="62" spans="1:16" ht="21" customHeight="1" x14ac:dyDescent="0.4">
      <c r="A62" s="40"/>
      <c r="B62" s="41" t="s">
        <v>64</v>
      </c>
      <c r="C62" s="42" t="s">
        <v>225</v>
      </c>
      <c r="D62" s="42" t="s">
        <v>289</v>
      </c>
      <c r="E62" s="18">
        <v>199954.44000000006</v>
      </c>
      <c r="F62" s="18">
        <v>0</v>
      </c>
      <c r="G62" s="22"/>
      <c r="H62" s="18"/>
      <c r="I62" s="18"/>
      <c r="J62" s="18"/>
      <c r="K62" s="18"/>
      <c r="L62" s="18"/>
      <c r="M62" s="18"/>
      <c r="N62" s="20">
        <f>E62+F62+G62+H62+I62</f>
        <v>199954.44000000006</v>
      </c>
      <c r="P62" s="7"/>
    </row>
    <row r="63" spans="1:16" ht="18.75" customHeight="1" x14ac:dyDescent="0.4">
      <c r="A63" s="40"/>
      <c r="B63" s="41" t="s">
        <v>65</v>
      </c>
      <c r="C63" s="42" t="s">
        <v>226</v>
      </c>
      <c r="D63" s="42" t="s">
        <v>288</v>
      </c>
      <c r="E63" s="18">
        <v>0</v>
      </c>
      <c r="F63" s="18">
        <v>0</v>
      </c>
      <c r="G63" s="22"/>
      <c r="H63" s="18"/>
      <c r="I63" s="18"/>
      <c r="J63" s="18"/>
      <c r="K63" s="18"/>
      <c r="L63" s="18"/>
      <c r="M63" s="18"/>
      <c r="N63" s="20">
        <f>E63+F63+G63+H63+I63</f>
        <v>0</v>
      </c>
      <c r="P63" s="7"/>
    </row>
    <row r="64" spans="1:16" ht="26.25" customHeight="1" x14ac:dyDescent="0.4">
      <c r="A64" s="40"/>
      <c r="B64" s="41" t="s">
        <v>66</v>
      </c>
      <c r="C64" s="42" t="s">
        <v>227</v>
      </c>
      <c r="D64" s="42" t="s">
        <v>288</v>
      </c>
      <c r="E64" s="18">
        <v>1440139</v>
      </c>
      <c r="F64" s="18">
        <v>0</v>
      </c>
      <c r="G64" s="22"/>
      <c r="H64" s="18"/>
      <c r="I64" s="18"/>
      <c r="J64" s="18"/>
      <c r="K64" s="18"/>
      <c r="L64" s="18"/>
      <c r="M64" s="18">
        <v>147500</v>
      </c>
      <c r="N64" s="20">
        <f>(E64+F64+G64+H64+I64+J64+K64+L64+M64)</f>
        <v>1587639</v>
      </c>
      <c r="P64" s="7"/>
    </row>
    <row r="65" spans="1:16" ht="22.5" customHeight="1" x14ac:dyDescent="0.4">
      <c r="A65" s="40"/>
      <c r="B65" s="41" t="s">
        <v>67</v>
      </c>
      <c r="C65" s="42" t="s">
        <v>228</v>
      </c>
      <c r="D65" s="42" t="s">
        <v>288</v>
      </c>
      <c r="E65" s="18"/>
      <c r="F65" s="18">
        <v>0</v>
      </c>
      <c r="G65" s="22"/>
      <c r="H65" s="18"/>
      <c r="I65" s="18"/>
      <c r="J65" s="18"/>
      <c r="K65" s="18"/>
      <c r="L65" s="18"/>
      <c r="M65" s="18"/>
      <c r="N65" s="20">
        <f>E65+F65+G65+H65+I65</f>
        <v>0</v>
      </c>
      <c r="P65" s="7"/>
    </row>
    <row r="66" spans="1:16" ht="25.5" customHeight="1" x14ac:dyDescent="0.4">
      <c r="A66" s="40"/>
      <c r="B66" s="41" t="s">
        <v>68</v>
      </c>
      <c r="C66" s="42" t="s">
        <v>194</v>
      </c>
      <c r="D66" s="42" t="s">
        <v>288</v>
      </c>
      <c r="E66" s="18"/>
      <c r="F66" s="18"/>
      <c r="G66" s="22"/>
      <c r="H66" s="18"/>
      <c r="I66" s="18"/>
      <c r="J66" s="18"/>
      <c r="K66" s="18">
        <f>(192500+65000)</f>
        <v>257500</v>
      </c>
      <c r="L66" s="18">
        <f>(198000+84000)</f>
        <v>282000</v>
      </c>
      <c r="M66" s="18">
        <v>198000</v>
      </c>
      <c r="N66" s="20">
        <f>E66+F66+G66+H66+I66+J66+K66+L66+M66</f>
        <v>737500</v>
      </c>
      <c r="P66" s="7"/>
    </row>
    <row r="67" spans="1:16" ht="24.75" customHeight="1" x14ac:dyDescent="0.4">
      <c r="A67" s="40"/>
      <c r="B67" s="41" t="s">
        <v>69</v>
      </c>
      <c r="C67" s="42" t="s">
        <v>225</v>
      </c>
      <c r="D67" s="42" t="s">
        <v>288</v>
      </c>
      <c r="E67" s="18"/>
      <c r="F67" s="18">
        <v>0</v>
      </c>
      <c r="G67" s="22"/>
      <c r="H67" s="18"/>
      <c r="I67" s="18"/>
      <c r="J67" s="18">
        <f>(61237+23715)</f>
        <v>84952</v>
      </c>
      <c r="K67" s="18"/>
      <c r="L67" s="18"/>
      <c r="M67" s="18"/>
      <c r="N67" s="20">
        <f>(E67+F67+G67+H67+I67+J67)</f>
        <v>84952</v>
      </c>
      <c r="P67" s="7"/>
    </row>
    <row r="68" spans="1:16" ht="21.75" customHeight="1" x14ac:dyDescent="0.4">
      <c r="A68" s="40"/>
      <c r="B68" s="41" t="s">
        <v>70</v>
      </c>
      <c r="C68" s="42" t="s">
        <v>229</v>
      </c>
      <c r="D68" s="42" t="s">
        <v>289</v>
      </c>
      <c r="E68" s="21">
        <v>1400</v>
      </c>
      <c r="F68" s="18">
        <v>0</v>
      </c>
      <c r="G68" s="22"/>
      <c r="H68" s="18"/>
      <c r="I68" s="18"/>
      <c r="J68" s="18"/>
      <c r="K68" s="18"/>
      <c r="L68" s="18"/>
      <c r="M68" s="18"/>
      <c r="N68" s="20">
        <f t="shared" ref="N68:N76" si="2">E68+F68+G68+H68+I68</f>
        <v>1400</v>
      </c>
      <c r="P68" s="7"/>
    </row>
    <row r="69" spans="1:16" ht="24.75" customHeight="1" x14ac:dyDescent="0.4">
      <c r="A69" s="40"/>
      <c r="B69" s="41" t="s">
        <v>71</v>
      </c>
      <c r="C69" s="42" t="s">
        <v>193</v>
      </c>
      <c r="D69" s="42" t="s">
        <v>288</v>
      </c>
      <c r="E69" s="18">
        <v>0</v>
      </c>
      <c r="F69" s="18"/>
      <c r="G69" s="22"/>
      <c r="H69" s="18"/>
      <c r="I69" s="18"/>
      <c r="J69" s="18"/>
      <c r="K69" s="18"/>
      <c r="L69" s="18"/>
      <c r="M69" s="18"/>
      <c r="N69" s="20">
        <f t="shared" si="2"/>
        <v>0</v>
      </c>
      <c r="P69" s="7"/>
    </row>
    <row r="70" spans="1:16" ht="30" customHeight="1" x14ac:dyDescent="0.4">
      <c r="A70" s="40"/>
      <c r="B70" s="41" t="s">
        <v>72</v>
      </c>
      <c r="C70" s="42" t="s">
        <v>214</v>
      </c>
      <c r="D70" s="42" t="s">
        <v>288</v>
      </c>
      <c r="E70" s="18">
        <v>120000</v>
      </c>
      <c r="F70" s="18">
        <v>0</v>
      </c>
      <c r="G70" s="22"/>
      <c r="H70" s="18"/>
      <c r="I70" s="18">
        <v>11000</v>
      </c>
      <c r="J70" s="18"/>
      <c r="K70" s="18"/>
      <c r="L70" s="18"/>
      <c r="M70" s="18"/>
      <c r="N70" s="20">
        <f t="shared" si="2"/>
        <v>131000</v>
      </c>
      <c r="P70" s="7"/>
    </row>
    <row r="71" spans="1:16" ht="32.25" customHeight="1" x14ac:dyDescent="0.4">
      <c r="A71" s="40"/>
      <c r="B71" s="41" t="s">
        <v>73</v>
      </c>
      <c r="C71" s="42" t="s">
        <v>230</v>
      </c>
      <c r="D71" s="42" t="s">
        <v>288</v>
      </c>
      <c r="E71" s="18"/>
      <c r="F71" s="18"/>
      <c r="G71" s="22"/>
      <c r="H71" s="18"/>
      <c r="I71" s="18"/>
      <c r="J71" s="18"/>
      <c r="K71" s="18"/>
      <c r="L71" s="18"/>
      <c r="M71" s="18"/>
      <c r="N71" s="20">
        <f t="shared" si="2"/>
        <v>0</v>
      </c>
      <c r="P71" s="7"/>
    </row>
    <row r="72" spans="1:16" ht="25.5" customHeight="1" x14ac:dyDescent="0.4">
      <c r="A72" s="40"/>
      <c r="B72" s="41" t="s">
        <v>74</v>
      </c>
      <c r="C72" s="42" t="s">
        <v>194</v>
      </c>
      <c r="D72" s="42" t="s">
        <v>288</v>
      </c>
      <c r="E72" s="18">
        <v>29117.16</v>
      </c>
      <c r="F72" s="18">
        <v>0</v>
      </c>
      <c r="G72" s="22"/>
      <c r="H72" s="18"/>
      <c r="I72" s="18"/>
      <c r="J72" s="18"/>
      <c r="K72" s="18"/>
      <c r="L72" s="18"/>
      <c r="M72" s="18"/>
      <c r="N72" s="20">
        <f t="shared" si="2"/>
        <v>29117.16</v>
      </c>
      <c r="P72" s="7"/>
    </row>
    <row r="73" spans="1:16" ht="21" customHeight="1" x14ac:dyDescent="0.4">
      <c r="A73" s="40"/>
      <c r="B73" s="41" t="s">
        <v>75</v>
      </c>
      <c r="C73" s="42" t="s">
        <v>231</v>
      </c>
      <c r="D73" s="42" t="s">
        <v>288</v>
      </c>
      <c r="E73" s="18">
        <v>0</v>
      </c>
      <c r="F73" s="18">
        <v>0</v>
      </c>
      <c r="G73" s="22"/>
      <c r="H73" s="18"/>
      <c r="I73" s="18"/>
      <c r="J73" s="18"/>
      <c r="K73" s="18"/>
      <c r="L73" s="18"/>
      <c r="M73" s="18"/>
      <c r="N73" s="20">
        <f t="shared" si="2"/>
        <v>0</v>
      </c>
      <c r="P73" s="7"/>
    </row>
    <row r="74" spans="1:16" ht="23.25" customHeight="1" x14ac:dyDescent="0.4">
      <c r="A74" s="40"/>
      <c r="B74" s="41" t="s">
        <v>76</v>
      </c>
      <c r="C74" s="42" t="s">
        <v>232</v>
      </c>
      <c r="D74" s="42" t="s">
        <v>288</v>
      </c>
      <c r="E74" s="18">
        <v>0</v>
      </c>
      <c r="F74" s="18">
        <v>0</v>
      </c>
      <c r="G74" s="22"/>
      <c r="H74" s="18"/>
      <c r="I74" s="18"/>
      <c r="J74" s="18"/>
      <c r="K74" s="18"/>
      <c r="L74" s="18"/>
      <c r="M74" s="18"/>
      <c r="N74" s="20">
        <f t="shared" si="2"/>
        <v>0</v>
      </c>
      <c r="P74" s="7"/>
    </row>
    <row r="75" spans="1:16" ht="19.5" customHeight="1" x14ac:dyDescent="0.4">
      <c r="A75" s="40"/>
      <c r="B75" s="41" t="s">
        <v>77</v>
      </c>
      <c r="C75" s="42" t="s">
        <v>233</v>
      </c>
      <c r="D75" s="42" t="s">
        <v>288</v>
      </c>
      <c r="E75" s="18"/>
      <c r="F75" s="18"/>
      <c r="G75" s="22"/>
      <c r="H75" s="18"/>
      <c r="I75" s="18"/>
      <c r="J75" s="18"/>
      <c r="K75" s="18"/>
      <c r="L75" s="18"/>
      <c r="M75" s="18"/>
      <c r="N75" s="20">
        <f t="shared" si="2"/>
        <v>0</v>
      </c>
      <c r="P75" s="7"/>
    </row>
    <row r="76" spans="1:16" ht="21" customHeight="1" x14ac:dyDescent="0.4">
      <c r="A76" s="40"/>
      <c r="B76" s="41" t="s">
        <v>78</v>
      </c>
      <c r="C76" s="42" t="s">
        <v>202</v>
      </c>
      <c r="D76" s="42" t="s">
        <v>288</v>
      </c>
      <c r="E76" s="18">
        <v>0</v>
      </c>
      <c r="F76" s="18">
        <v>0</v>
      </c>
      <c r="G76" s="22">
        <v>22562.19</v>
      </c>
      <c r="H76" s="18"/>
      <c r="I76" s="18"/>
      <c r="J76" s="18"/>
      <c r="K76" s="18"/>
      <c r="L76" s="18"/>
      <c r="M76" s="18"/>
      <c r="N76" s="20">
        <f t="shared" si="2"/>
        <v>22562.19</v>
      </c>
      <c r="P76" s="7"/>
    </row>
    <row r="77" spans="1:16" ht="23.25" customHeight="1" x14ac:dyDescent="0.4">
      <c r="A77" s="40"/>
      <c r="B77" s="41" t="s">
        <v>79</v>
      </c>
      <c r="C77" s="42" t="s">
        <v>219</v>
      </c>
      <c r="D77" s="42" t="s">
        <v>288</v>
      </c>
      <c r="E77" s="18">
        <v>0</v>
      </c>
      <c r="F77" s="18"/>
      <c r="G77" s="22"/>
      <c r="H77" s="18">
        <v>22562.19</v>
      </c>
      <c r="I77" s="18">
        <v>24266.02</v>
      </c>
      <c r="J77" s="18">
        <f>(12133.01+33019)</f>
        <v>45152.01</v>
      </c>
      <c r="K77" s="18">
        <f>(179625+26992.85)</f>
        <v>206617.85</v>
      </c>
      <c r="L77" s="18"/>
      <c r="M77" s="18">
        <v>183249.8</v>
      </c>
      <c r="N77" s="20">
        <f>(E77+F77+G77+H77+I77+J77+K77+L77+M77)</f>
        <v>481847.87</v>
      </c>
      <c r="P77" s="7"/>
    </row>
    <row r="78" spans="1:16" ht="23.25" customHeight="1" x14ac:dyDescent="0.4">
      <c r="A78" s="40"/>
      <c r="B78" s="41" t="s">
        <v>80</v>
      </c>
      <c r="C78" s="42" t="s">
        <v>234</v>
      </c>
      <c r="D78" s="42" t="s">
        <v>288</v>
      </c>
      <c r="E78" s="18">
        <v>0</v>
      </c>
      <c r="F78" s="18">
        <v>0</v>
      </c>
      <c r="G78" s="22"/>
      <c r="H78" s="18"/>
      <c r="I78" s="18"/>
      <c r="J78" s="18">
        <v>126360</v>
      </c>
      <c r="K78" s="18"/>
      <c r="L78" s="18"/>
      <c r="M78" s="18"/>
      <c r="N78" s="20">
        <f>(E78+F78+G78+H78+I78+J78)</f>
        <v>126360</v>
      </c>
      <c r="P78" s="7"/>
    </row>
    <row r="79" spans="1:16" ht="22.5" customHeight="1" x14ac:dyDescent="0.4">
      <c r="A79" s="40"/>
      <c r="B79" s="41" t="s">
        <v>81</v>
      </c>
      <c r="C79" s="42" t="s">
        <v>235</v>
      </c>
      <c r="D79" s="42" t="s">
        <v>288</v>
      </c>
      <c r="E79" s="18"/>
      <c r="F79" s="18"/>
      <c r="G79" s="22"/>
      <c r="H79" s="18"/>
      <c r="I79" s="18">
        <v>25165.4</v>
      </c>
      <c r="J79" s="18"/>
      <c r="K79" s="18"/>
      <c r="L79" s="18"/>
      <c r="M79" s="18"/>
      <c r="N79" s="20">
        <f>E79+F79+G79+H79+I79</f>
        <v>25165.4</v>
      </c>
      <c r="P79" s="7"/>
    </row>
    <row r="80" spans="1:16" ht="24.75" customHeight="1" x14ac:dyDescent="0.4">
      <c r="A80" s="40"/>
      <c r="B80" s="41" t="s">
        <v>82</v>
      </c>
      <c r="C80" s="42" t="s">
        <v>236</v>
      </c>
      <c r="D80" s="42" t="s">
        <v>288</v>
      </c>
      <c r="E80" s="18">
        <v>0</v>
      </c>
      <c r="F80" s="18">
        <v>0</v>
      </c>
      <c r="G80" s="22"/>
      <c r="H80" s="18"/>
      <c r="I80" s="18"/>
      <c r="J80" s="18">
        <f>(2300+900+2300+2300+1125+675+675+2300+900+900+2300+2525+810+675+2300+2300+1125+2300+675)</f>
        <v>29385</v>
      </c>
      <c r="K80" s="18">
        <f>(1125+1125+1350+1125+3315+3700+1125+675+675+1350+675+1125+3000+1350+3225+1125+675+675)</f>
        <v>27415</v>
      </c>
      <c r="L80" s="18">
        <f>(3225+1125+810+900+900+2300+675+675+2525+2525+675+1125+2750+2075+675+6600+675+2525)</f>
        <v>32760</v>
      </c>
      <c r="M80" s="18">
        <f>(4575+1575+3675+2750+3515)</f>
        <v>16090</v>
      </c>
      <c r="N80" s="20">
        <f>(E80+F80+G80+H80+I80+J80+K80+L80+M80)</f>
        <v>105650</v>
      </c>
      <c r="P80" s="7"/>
    </row>
    <row r="81" spans="1:16" ht="21.75" customHeight="1" x14ac:dyDescent="0.4">
      <c r="A81" s="40"/>
      <c r="B81" s="41" t="s">
        <v>83</v>
      </c>
      <c r="C81" s="42" t="s">
        <v>216</v>
      </c>
      <c r="D81" s="42" t="s">
        <v>288</v>
      </c>
      <c r="E81" s="18">
        <v>158000</v>
      </c>
      <c r="F81" s="18">
        <v>0</v>
      </c>
      <c r="G81" s="22"/>
      <c r="H81" s="18"/>
      <c r="I81" s="18"/>
      <c r="J81" s="18"/>
      <c r="K81" s="18"/>
      <c r="L81" s="18"/>
      <c r="M81" s="18"/>
      <c r="N81" s="20">
        <f t="shared" ref="N81:N90" si="3">E81+F81+G81+H81+I81</f>
        <v>158000</v>
      </c>
      <c r="P81" s="7"/>
    </row>
    <row r="82" spans="1:16" ht="25.5" customHeight="1" x14ac:dyDescent="0.4">
      <c r="A82" s="40"/>
      <c r="B82" s="41" t="s">
        <v>84</v>
      </c>
      <c r="C82" s="42" t="s">
        <v>219</v>
      </c>
      <c r="D82" s="42" t="s">
        <v>288</v>
      </c>
      <c r="E82" s="18">
        <v>220975</v>
      </c>
      <c r="F82" s="18">
        <v>0</v>
      </c>
      <c r="G82" s="22"/>
      <c r="H82" s="18"/>
      <c r="I82" s="18"/>
      <c r="J82" s="18"/>
      <c r="K82" s="18"/>
      <c r="L82" s="18"/>
      <c r="M82" s="18"/>
      <c r="N82" s="20">
        <f t="shared" si="3"/>
        <v>220975</v>
      </c>
      <c r="P82" s="7"/>
    </row>
    <row r="83" spans="1:16" ht="23.25" customHeight="1" x14ac:dyDescent="0.4">
      <c r="A83" s="40"/>
      <c r="B83" s="41" t="s">
        <v>85</v>
      </c>
      <c r="C83" s="42" t="s">
        <v>237</v>
      </c>
      <c r="D83" s="42" t="s">
        <v>289</v>
      </c>
      <c r="E83" s="18">
        <v>5392.6</v>
      </c>
      <c r="F83" s="18">
        <v>0</v>
      </c>
      <c r="G83" s="22"/>
      <c r="H83" s="18"/>
      <c r="I83" s="18"/>
      <c r="J83" s="18"/>
      <c r="K83" s="18"/>
      <c r="L83" s="18"/>
      <c r="M83" s="18"/>
      <c r="N83" s="20">
        <f t="shared" si="3"/>
        <v>5392.6</v>
      </c>
      <c r="P83" s="7"/>
    </row>
    <row r="84" spans="1:16" ht="21.75" customHeight="1" x14ac:dyDescent="0.4">
      <c r="A84" s="40"/>
      <c r="B84" s="41" t="s">
        <v>86</v>
      </c>
      <c r="C84" s="42" t="s">
        <v>193</v>
      </c>
      <c r="D84" s="42" t="s">
        <v>289</v>
      </c>
      <c r="E84" s="18"/>
      <c r="F84" s="18">
        <v>0</v>
      </c>
      <c r="G84" s="22"/>
      <c r="H84" s="18"/>
      <c r="I84" s="18"/>
      <c r="J84" s="18"/>
      <c r="K84" s="18"/>
      <c r="L84" s="18"/>
      <c r="M84" s="18"/>
      <c r="N84" s="20">
        <f t="shared" si="3"/>
        <v>0</v>
      </c>
      <c r="P84" s="7"/>
    </row>
    <row r="85" spans="1:16" ht="21" customHeight="1" x14ac:dyDescent="0.4">
      <c r="A85" s="40"/>
      <c r="B85" s="41" t="s">
        <v>87</v>
      </c>
      <c r="C85" s="42" t="s">
        <v>198</v>
      </c>
      <c r="D85" s="42" t="s">
        <v>289</v>
      </c>
      <c r="E85" s="18">
        <v>0</v>
      </c>
      <c r="F85" s="18">
        <v>0</v>
      </c>
      <c r="G85" s="22"/>
      <c r="H85" s="18"/>
      <c r="I85" s="18"/>
      <c r="J85" s="18"/>
      <c r="K85" s="18"/>
      <c r="L85" s="18"/>
      <c r="M85" s="18"/>
      <c r="N85" s="20">
        <f t="shared" si="3"/>
        <v>0</v>
      </c>
      <c r="P85" s="7"/>
    </row>
    <row r="86" spans="1:16" ht="23.25" customHeight="1" x14ac:dyDescent="0.4">
      <c r="A86" s="40"/>
      <c r="B86" s="41" t="s">
        <v>88</v>
      </c>
      <c r="C86" s="42" t="s">
        <v>238</v>
      </c>
      <c r="D86" s="42" t="s">
        <v>288</v>
      </c>
      <c r="E86" s="18">
        <v>2199.9899999999998</v>
      </c>
      <c r="F86" s="18">
        <v>0</v>
      </c>
      <c r="G86" s="22"/>
      <c r="H86" s="18"/>
      <c r="I86" s="18"/>
      <c r="J86" s="18"/>
      <c r="K86" s="18"/>
      <c r="L86" s="18"/>
      <c r="M86" s="18"/>
      <c r="N86" s="20">
        <f t="shared" si="3"/>
        <v>2199.9899999999998</v>
      </c>
      <c r="P86" s="7"/>
    </row>
    <row r="87" spans="1:16" ht="26.25" x14ac:dyDescent="0.4">
      <c r="A87" s="40"/>
      <c r="B87" s="41" t="s">
        <v>89</v>
      </c>
      <c r="C87" s="42" t="s">
        <v>234</v>
      </c>
      <c r="D87" s="42" t="s">
        <v>288</v>
      </c>
      <c r="E87" s="18">
        <v>140820</v>
      </c>
      <c r="F87" s="18">
        <v>0</v>
      </c>
      <c r="G87" s="22"/>
      <c r="H87" s="18"/>
      <c r="I87" s="18"/>
      <c r="J87" s="18"/>
      <c r="K87" s="18"/>
      <c r="L87" s="18"/>
      <c r="M87" s="18"/>
      <c r="N87" s="20">
        <f t="shared" si="3"/>
        <v>140820</v>
      </c>
      <c r="P87" s="7"/>
    </row>
    <row r="88" spans="1:16" ht="19.5" customHeight="1" x14ac:dyDescent="0.4">
      <c r="A88" s="40"/>
      <c r="B88" s="41" t="s">
        <v>90</v>
      </c>
      <c r="C88" s="42" t="s">
        <v>239</v>
      </c>
      <c r="D88" s="42" t="s">
        <v>288</v>
      </c>
      <c r="E88" s="18"/>
      <c r="F88" s="18"/>
      <c r="G88" s="22"/>
      <c r="H88" s="18"/>
      <c r="I88" s="18"/>
      <c r="J88" s="18"/>
      <c r="K88" s="18"/>
      <c r="L88" s="18"/>
      <c r="M88" s="18"/>
      <c r="N88" s="20">
        <f t="shared" si="3"/>
        <v>0</v>
      </c>
      <c r="P88" s="7"/>
    </row>
    <row r="89" spans="1:16" ht="22.5" customHeight="1" x14ac:dyDescent="0.4">
      <c r="A89" s="40"/>
      <c r="B89" s="41" t="s">
        <v>91</v>
      </c>
      <c r="C89" s="42" t="s">
        <v>194</v>
      </c>
      <c r="D89" s="42" t="s">
        <v>288</v>
      </c>
      <c r="E89" s="18">
        <v>0</v>
      </c>
      <c r="F89" s="18">
        <v>0</v>
      </c>
      <c r="G89" s="22">
        <v>157176</v>
      </c>
      <c r="H89" s="18"/>
      <c r="I89" s="18"/>
      <c r="J89" s="18"/>
      <c r="K89" s="18"/>
      <c r="L89" s="18"/>
      <c r="M89" s="18"/>
      <c r="N89" s="20">
        <f t="shared" si="3"/>
        <v>157176</v>
      </c>
      <c r="P89" s="7"/>
    </row>
    <row r="90" spans="1:16" ht="23.25" customHeight="1" x14ac:dyDescent="0.4">
      <c r="A90" s="40"/>
      <c r="B90" s="41" t="s">
        <v>92</v>
      </c>
      <c r="C90" s="42" t="s">
        <v>240</v>
      </c>
      <c r="D90" s="42" t="s">
        <v>288</v>
      </c>
      <c r="E90" s="18">
        <v>0</v>
      </c>
      <c r="F90" s="18">
        <v>369850</v>
      </c>
      <c r="G90" s="22"/>
      <c r="H90" s="18"/>
      <c r="I90" s="18"/>
      <c r="J90" s="18"/>
      <c r="K90" s="18"/>
      <c r="L90" s="18"/>
      <c r="M90" s="18"/>
      <c r="N90" s="20">
        <f t="shared" si="3"/>
        <v>369850</v>
      </c>
      <c r="P90" s="7"/>
    </row>
    <row r="91" spans="1:16" ht="23.25" customHeight="1" x14ac:dyDescent="0.4">
      <c r="A91" s="40"/>
      <c r="B91" s="41" t="s">
        <v>93</v>
      </c>
      <c r="C91" s="42" t="s">
        <v>241</v>
      </c>
      <c r="D91" s="42" t="s">
        <v>288</v>
      </c>
      <c r="E91" s="18"/>
      <c r="F91" s="18"/>
      <c r="G91" s="22"/>
      <c r="H91" s="18"/>
      <c r="I91" s="18"/>
      <c r="J91" s="18">
        <v>15340</v>
      </c>
      <c r="K91" s="18"/>
      <c r="L91" s="18">
        <v>20532</v>
      </c>
      <c r="M91" s="18"/>
      <c r="N91" s="20">
        <f>E91+F91+G91+H91+I91+J91+K91+L91</f>
        <v>35872</v>
      </c>
      <c r="P91" s="7"/>
    </row>
    <row r="92" spans="1:16" ht="23.25" customHeight="1" x14ac:dyDescent="0.4">
      <c r="A92" s="40"/>
      <c r="B92" s="41" t="s">
        <v>94</v>
      </c>
      <c r="C92" s="42" t="s">
        <v>226</v>
      </c>
      <c r="D92" s="42" t="s">
        <v>288</v>
      </c>
      <c r="E92" s="18">
        <v>0</v>
      </c>
      <c r="F92" s="18">
        <v>5645</v>
      </c>
      <c r="G92" s="22">
        <v>57100</v>
      </c>
      <c r="H92" s="18"/>
      <c r="I92" s="18"/>
      <c r="J92" s="18"/>
      <c r="K92" s="18"/>
      <c r="L92" s="18"/>
      <c r="M92" s="18"/>
      <c r="N92" s="20">
        <f t="shared" ref="N92:N104" si="4">E92+F92+G92+H92+I92</f>
        <v>62745</v>
      </c>
      <c r="P92" s="7"/>
    </row>
    <row r="93" spans="1:16" ht="26.25" x14ac:dyDescent="0.4">
      <c r="A93" s="40"/>
      <c r="B93" s="41" t="s">
        <v>95</v>
      </c>
      <c r="C93" s="42" t="s">
        <v>242</v>
      </c>
      <c r="D93" s="42" t="s">
        <v>288</v>
      </c>
      <c r="E93" s="18">
        <v>3000</v>
      </c>
      <c r="F93" s="18"/>
      <c r="G93" s="22"/>
      <c r="H93" s="18"/>
      <c r="I93" s="18"/>
      <c r="J93" s="18"/>
      <c r="K93" s="18"/>
      <c r="L93" s="18"/>
      <c r="M93" s="18"/>
      <c r="N93" s="20">
        <f t="shared" si="4"/>
        <v>3000</v>
      </c>
      <c r="P93" s="7"/>
    </row>
    <row r="94" spans="1:16" ht="25.5" customHeight="1" x14ac:dyDescent="0.4">
      <c r="A94" s="40"/>
      <c r="B94" s="41" t="s">
        <v>96</v>
      </c>
      <c r="C94" s="42" t="s">
        <v>243</v>
      </c>
      <c r="D94" s="45" t="s">
        <v>288</v>
      </c>
      <c r="E94" s="18">
        <v>34900.379999999997</v>
      </c>
      <c r="F94" s="18"/>
      <c r="G94" s="22"/>
      <c r="H94" s="18"/>
      <c r="I94" s="18"/>
      <c r="J94" s="18"/>
      <c r="K94" s="18"/>
      <c r="L94" s="18"/>
      <c r="M94" s="18"/>
      <c r="N94" s="20">
        <f t="shared" si="4"/>
        <v>34900.379999999997</v>
      </c>
      <c r="P94" s="7"/>
    </row>
    <row r="95" spans="1:16" ht="27" customHeight="1" x14ac:dyDescent="0.4">
      <c r="A95" s="40"/>
      <c r="B95" s="41" t="s">
        <v>97</v>
      </c>
      <c r="C95" s="42" t="s">
        <v>244</v>
      </c>
      <c r="D95" s="42" t="s">
        <v>288</v>
      </c>
      <c r="E95" s="18"/>
      <c r="F95" s="18"/>
      <c r="G95" s="22"/>
      <c r="H95" s="18"/>
      <c r="I95" s="18"/>
      <c r="J95" s="18"/>
      <c r="K95" s="18"/>
      <c r="L95" s="18"/>
      <c r="M95" s="18"/>
      <c r="N95" s="20">
        <f t="shared" si="4"/>
        <v>0</v>
      </c>
      <c r="P95" s="7"/>
    </row>
    <row r="96" spans="1:16" ht="25.5" customHeight="1" x14ac:dyDescent="0.4">
      <c r="A96" s="40"/>
      <c r="B96" s="41" t="s">
        <v>98</v>
      </c>
      <c r="C96" s="42" t="s">
        <v>194</v>
      </c>
      <c r="D96" s="42" t="s">
        <v>288</v>
      </c>
      <c r="E96" s="18"/>
      <c r="F96" s="18">
        <v>0</v>
      </c>
      <c r="G96" s="22"/>
      <c r="H96" s="18"/>
      <c r="I96" s="18"/>
      <c r="J96" s="18"/>
      <c r="K96" s="18"/>
      <c r="L96" s="18"/>
      <c r="M96" s="18"/>
      <c r="N96" s="20">
        <f t="shared" si="4"/>
        <v>0</v>
      </c>
      <c r="P96" s="7"/>
    </row>
    <row r="97" spans="1:16" ht="26.25" x14ac:dyDescent="0.4">
      <c r="A97" s="40"/>
      <c r="B97" s="41" t="s">
        <v>99</v>
      </c>
      <c r="C97" s="42" t="s">
        <v>194</v>
      </c>
      <c r="D97" s="42" t="s">
        <v>288</v>
      </c>
      <c r="E97" s="18"/>
      <c r="F97" s="18"/>
      <c r="G97" s="22"/>
      <c r="H97" s="18"/>
      <c r="I97" s="18"/>
      <c r="J97" s="18"/>
      <c r="K97" s="18"/>
      <c r="L97" s="18"/>
      <c r="M97" s="18"/>
      <c r="N97" s="20">
        <f t="shared" si="4"/>
        <v>0</v>
      </c>
      <c r="P97" s="7"/>
    </row>
    <row r="98" spans="1:16" ht="21.75" customHeight="1" x14ac:dyDescent="0.4">
      <c r="A98" s="40"/>
      <c r="B98" s="41" t="s">
        <v>100</v>
      </c>
      <c r="C98" s="42" t="s">
        <v>245</v>
      </c>
      <c r="D98" s="42" t="s">
        <v>288</v>
      </c>
      <c r="E98" s="18"/>
      <c r="F98" s="18"/>
      <c r="G98" s="22"/>
      <c r="H98" s="18"/>
      <c r="I98" s="18">
        <v>11000</v>
      </c>
      <c r="J98" s="18"/>
      <c r="K98" s="18"/>
      <c r="L98" s="18"/>
      <c r="M98" s="18"/>
      <c r="N98" s="20">
        <f t="shared" si="4"/>
        <v>11000</v>
      </c>
      <c r="P98" s="7"/>
    </row>
    <row r="99" spans="1:16" ht="19.5" customHeight="1" x14ac:dyDescent="0.4">
      <c r="A99" s="40"/>
      <c r="B99" s="41" t="s">
        <v>101</v>
      </c>
      <c r="C99" s="42" t="s">
        <v>197</v>
      </c>
      <c r="D99" s="42" t="s">
        <v>288</v>
      </c>
      <c r="E99" s="18">
        <v>68853</v>
      </c>
      <c r="F99" s="18">
        <v>0</v>
      </c>
      <c r="G99" s="22"/>
      <c r="H99" s="18"/>
      <c r="I99" s="18"/>
      <c r="J99" s="18"/>
      <c r="K99" s="18"/>
      <c r="L99" s="18"/>
      <c r="M99" s="18"/>
      <c r="N99" s="20">
        <f t="shared" si="4"/>
        <v>68853</v>
      </c>
      <c r="P99" s="7"/>
    </row>
    <row r="100" spans="1:16" ht="25.5" customHeight="1" x14ac:dyDescent="0.4">
      <c r="A100" s="40"/>
      <c r="B100" s="41" t="s">
        <v>102</v>
      </c>
      <c r="C100" s="42" t="s">
        <v>246</v>
      </c>
      <c r="D100" s="42" t="s">
        <v>288</v>
      </c>
      <c r="E100" s="18">
        <v>105320.16</v>
      </c>
      <c r="F100" s="18">
        <v>0</v>
      </c>
      <c r="G100" s="22"/>
      <c r="H100" s="18"/>
      <c r="I100" s="18"/>
      <c r="J100" s="18"/>
      <c r="K100" s="18"/>
      <c r="L100" s="18"/>
      <c r="M100" s="18"/>
      <c r="N100" s="20">
        <f t="shared" si="4"/>
        <v>105320.16</v>
      </c>
      <c r="P100" s="7"/>
    </row>
    <row r="101" spans="1:16" ht="21.75" customHeight="1" x14ac:dyDescent="0.4">
      <c r="A101" s="40"/>
      <c r="B101" s="41" t="s">
        <v>103</v>
      </c>
      <c r="C101" s="42" t="s">
        <v>194</v>
      </c>
      <c r="D101" s="42" t="s">
        <v>289</v>
      </c>
      <c r="E101" s="18">
        <v>107700</v>
      </c>
      <c r="F101" s="18"/>
      <c r="G101" s="22"/>
      <c r="H101" s="18"/>
      <c r="I101" s="18"/>
      <c r="J101" s="18"/>
      <c r="K101" s="18"/>
      <c r="L101" s="18"/>
      <c r="M101" s="18"/>
      <c r="N101" s="20">
        <f t="shared" si="4"/>
        <v>107700</v>
      </c>
      <c r="P101" s="7"/>
    </row>
    <row r="102" spans="1:16" ht="27" customHeight="1" x14ac:dyDescent="0.4">
      <c r="A102" s="40"/>
      <c r="B102" s="41" t="s">
        <v>104</v>
      </c>
      <c r="C102" s="47" t="s">
        <v>247</v>
      </c>
      <c r="D102" s="42" t="s">
        <v>288</v>
      </c>
      <c r="E102" s="18"/>
      <c r="F102" s="18">
        <v>0</v>
      </c>
      <c r="G102" s="22"/>
      <c r="H102" s="18"/>
      <c r="I102" s="18"/>
      <c r="J102" s="18"/>
      <c r="K102" s="18"/>
      <c r="L102" s="18">
        <v>95850</v>
      </c>
      <c r="M102" s="18"/>
      <c r="N102" s="20">
        <f>E102+F102+G102+H102+I102+J102+K102+L102+M102</f>
        <v>95850</v>
      </c>
      <c r="P102" s="7"/>
    </row>
    <row r="103" spans="1:16" ht="24.75" customHeight="1" x14ac:dyDescent="0.4">
      <c r="A103" s="40"/>
      <c r="B103" s="41" t="s">
        <v>105</v>
      </c>
      <c r="C103" s="42" t="s">
        <v>194</v>
      </c>
      <c r="D103" s="42" t="s">
        <v>288</v>
      </c>
      <c r="E103" s="18">
        <v>373540</v>
      </c>
      <c r="F103" s="18">
        <v>0</v>
      </c>
      <c r="G103" s="22"/>
      <c r="H103" s="18"/>
      <c r="I103" s="18"/>
      <c r="J103" s="18"/>
      <c r="K103" s="18"/>
      <c r="L103" s="18"/>
      <c r="M103" s="18"/>
      <c r="N103" s="20">
        <f t="shared" si="4"/>
        <v>373540</v>
      </c>
      <c r="P103" s="7"/>
    </row>
    <row r="104" spans="1:16" ht="21.75" customHeight="1" x14ac:dyDescent="0.4">
      <c r="A104" s="40"/>
      <c r="B104" s="41" t="s">
        <v>106</v>
      </c>
      <c r="C104" s="42" t="s">
        <v>208</v>
      </c>
      <c r="D104" s="42" t="s">
        <v>288</v>
      </c>
      <c r="E104" s="18">
        <v>40500.49</v>
      </c>
      <c r="F104" s="18">
        <v>0</v>
      </c>
      <c r="G104" s="22">
        <v>430092</v>
      </c>
      <c r="H104" s="18"/>
      <c r="I104" s="18"/>
      <c r="J104" s="18"/>
      <c r="K104" s="18"/>
      <c r="L104" s="18"/>
      <c r="M104" s="18"/>
      <c r="N104" s="20">
        <f t="shared" si="4"/>
        <v>470592.49</v>
      </c>
      <c r="P104" s="7"/>
    </row>
    <row r="105" spans="1:16" ht="19.5" customHeight="1" x14ac:dyDescent="0.4">
      <c r="A105" s="40"/>
      <c r="B105" s="41" t="s">
        <v>107</v>
      </c>
      <c r="C105" s="42" t="s">
        <v>194</v>
      </c>
      <c r="D105" s="42" t="s">
        <v>288</v>
      </c>
      <c r="E105" s="18">
        <v>0</v>
      </c>
      <c r="F105" s="18">
        <v>0</v>
      </c>
      <c r="G105" s="22"/>
      <c r="H105" s="18"/>
      <c r="I105" s="18"/>
      <c r="J105" s="18"/>
      <c r="K105" s="18">
        <f>(184275)</f>
        <v>184275</v>
      </c>
      <c r="L105" s="18">
        <v>50970</v>
      </c>
      <c r="M105" s="18">
        <f>(140875+189365)</f>
        <v>330240</v>
      </c>
      <c r="N105" s="20">
        <f>E105+F105+G105+H105+I105+J105+K105+L105+M105</f>
        <v>565485</v>
      </c>
      <c r="P105" s="7"/>
    </row>
    <row r="106" spans="1:16" ht="24.75" customHeight="1" x14ac:dyDescent="0.4">
      <c r="A106" s="40"/>
      <c r="B106" s="41" t="s">
        <v>108</v>
      </c>
      <c r="C106" s="42" t="s">
        <v>194</v>
      </c>
      <c r="D106" s="42" t="s">
        <v>288</v>
      </c>
      <c r="E106" s="18">
        <v>0</v>
      </c>
      <c r="F106" s="18">
        <v>0</v>
      </c>
      <c r="G106" s="22"/>
      <c r="H106" s="18">
        <f>(149625+69978.15+69978.15)</f>
        <v>289581.3</v>
      </c>
      <c r="I106" s="18"/>
      <c r="J106" s="18">
        <f>(110000+37557)</f>
        <v>147557</v>
      </c>
      <c r="K106" s="18">
        <v>198000</v>
      </c>
      <c r="L106" s="18">
        <f>(165000+165000+165000)</f>
        <v>495000</v>
      </c>
      <c r="M106" s="18">
        <f>(165000+56334.9)</f>
        <v>221334.9</v>
      </c>
      <c r="N106" s="20">
        <f>+E106+F106+G106+H106+I106+J106+K106+L106+M106</f>
        <v>1351473.2</v>
      </c>
      <c r="P106" s="7"/>
    </row>
    <row r="107" spans="1:16" ht="28.5" customHeight="1" x14ac:dyDescent="0.4">
      <c r="A107" s="40"/>
      <c r="B107" s="41" t="s">
        <v>109</v>
      </c>
      <c r="C107" s="42" t="s">
        <v>233</v>
      </c>
      <c r="D107" s="42" t="s">
        <v>288</v>
      </c>
      <c r="E107" s="18">
        <v>0</v>
      </c>
      <c r="F107" s="18">
        <v>0</v>
      </c>
      <c r="G107" s="22"/>
      <c r="H107" s="18"/>
      <c r="I107" s="18"/>
      <c r="J107" s="18">
        <f>(39858.9)</f>
        <v>39858.9</v>
      </c>
      <c r="K107" s="18">
        <f>(16560.57+396728.63+2543.98+33323.92+1492.47+397466.92+31398.59)</f>
        <v>879515.08</v>
      </c>
      <c r="L107" s="18">
        <f>(29699.57+9678.36+1257.26+34331.75+29503.85+397466.92)</f>
        <v>501937.70999999996</v>
      </c>
      <c r="M107" s="18"/>
      <c r="N107" s="20">
        <f>E107+F107+G107+H107+I107+J107+K107+L107</f>
        <v>1421311.69</v>
      </c>
      <c r="P107" s="7"/>
    </row>
    <row r="108" spans="1:16" ht="25.5" customHeight="1" x14ac:dyDescent="0.4">
      <c r="A108" s="40"/>
      <c r="B108" s="41" t="s">
        <v>110</v>
      </c>
      <c r="C108" s="42" t="s">
        <v>194</v>
      </c>
      <c r="D108" s="42" t="s">
        <v>288</v>
      </c>
      <c r="E108" s="18">
        <v>155510.20000000001</v>
      </c>
      <c r="F108" s="18"/>
      <c r="G108" s="22"/>
      <c r="H108" s="18"/>
      <c r="I108" s="18"/>
      <c r="J108" s="18"/>
      <c r="K108" s="18"/>
      <c r="L108" s="18"/>
      <c r="M108" s="18"/>
      <c r="N108" s="20">
        <f>E108+F108+G108+H108+I108</f>
        <v>155510.20000000001</v>
      </c>
      <c r="P108" s="7"/>
    </row>
    <row r="109" spans="1:16" ht="26.25" customHeight="1" x14ac:dyDescent="0.4">
      <c r="A109" s="40"/>
      <c r="B109" s="41" t="s">
        <v>111</v>
      </c>
      <c r="C109" s="42" t="s">
        <v>194</v>
      </c>
      <c r="D109" s="42" t="s">
        <v>288</v>
      </c>
      <c r="E109" s="18">
        <v>238266.12</v>
      </c>
      <c r="F109" s="18"/>
      <c r="G109" s="22"/>
      <c r="H109" s="18"/>
      <c r="I109" s="18"/>
      <c r="J109" s="18"/>
      <c r="K109" s="18"/>
      <c r="L109" s="18"/>
      <c r="M109" s="18"/>
      <c r="N109" s="20">
        <f>E109+F109+G109+H109+I109</f>
        <v>238266.12</v>
      </c>
      <c r="P109" s="7"/>
    </row>
    <row r="110" spans="1:16" ht="21.75" customHeight="1" x14ac:dyDescent="0.4">
      <c r="A110" s="40"/>
      <c r="B110" s="41" t="s">
        <v>112</v>
      </c>
      <c r="C110" s="42" t="s">
        <v>196</v>
      </c>
      <c r="D110" s="42" t="s">
        <v>288</v>
      </c>
      <c r="E110" s="18"/>
      <c r="F110" s="18"/>
      <c r="G110" s="22"/>
      <c r="H110" s="18"/>
      <c r="I110" s="18"/>
      <c r="J110" s="18"/>
      <c r="K110" s="18"/>
      <c r="L110" s="18"/>
      <c r="M110" s="18"/>
      <c r="N110" s="20">
        <f>E110+F110+G110+H110+I110</f>
        <v>0</v>
      </c>
      <c r="P110" s="7"/>
    </row>
    <row r="111" spans="1:16" ht="34.5" customHeight="1" x14ac:dyDescent="0.4">
      <c r="A111" s="40"/>
      <c r="B111" s="41" t="s">
        <v>113</v>
      </c>
      <c r="C111" s="42" t="s">
        <v>248</v>
      </c>
      <c r="D111" s="42" t="s">
        <v>288</v>
      </c>
      <c r="E111" s="18"/>
      <c r="F111" s="18">
        <v>0</v>
      </c>
      <c r="G111" s="22"/>
      <c r="H111" s="18"/>
      <c r="I111" s="18"/>
      <c r="J111" s="18"/>
      <c r="K111" s="18"/>
      <c r="L111" s="18"/>
      <c r="M111" s="18"/>
      <c r="N111" s="20">
        <f>E111+F111+G111+H111+I111+J111+K111+L111+M111</f>
        <v>0</v>
      </c>
      <c r="P111" s="7"/>
    </row>
    <row r="112" spans="1:16" ht="31.5" customHeight="1" x14ac:dyDescent="0.4">
      <c r="A112" s="40"/>
      <c r="B112" s="41" t="s">
        <v>114</v>
      </c>
      <c r="C112" s="42" t="s">
        <v>249</v>
      </c>
      <c r="D112" s="42" t="s">
        <v>288</v>
      </c>
      <c r="E112" s="18"/>
      <c r="F112" s="18">
        <v>0</v>
      </c>
      <c r="G112" s="22">
        <v>250895</v>
      </c>
      <c r="H112" s="18">
        <f>(138985+14800)</f>
        <v>153785</v>
      </c>
      <c r="I112" s="18">
        <v>14210</v>
      </c>
      <c r="J112" s="18">
        <f>(2200+81800)</f>
        <v>84000</v>
      </c>
      <c r="K112" s="18">
        <v>166235</v>
      </c>
      <c r="L112" s="18"/>
      <c r="M112" s="18">
        <f>(8530+105710)</f>
        <v>114240</v>
      </c>
      <c r="N112" s="20">
        <f>E112+F112+G112+H112+I112+J112+K112+L112+M112</f>
        <v>783365</v>
      </c>
      <c r="P112" s="7"/>
    </row>
    <row r="113" spans="1:16" ht="35.25" customHeight="1" x14ac:dyDescent="0.4">
      <c r="A113" s="40"/>
      <c r="B113" s="41" t="s">
        <v>115</v>
      </c>
      <c r="C113" s="42" t="s">
        <v>250</v>
      </c>
      <c r="D113" s="42" t="s">
        <v>288</v>
      </c>
      <c r="E113" s="18"/>
      <c r="F113" s="18">
        <v>0</v>
      </c>
      <c r="G113" s="22">
        <v>280500</v>
      </c>
      <c r="H113" s="18"/>
      <c r="I113" s="18">
        <f>(23000+23000)</f>
        <v>46000</v>
      </c>
      <c r="J113" s="18">
        <f>(6000+23000+23000)</f>
        <v>52000</v>
      </c>
      <c r="K113" s="18">
        <f>(23000+23000)</f>
        <v>46000</v>
      </c>
      <c r="L113" s="18">
        <f>(23000+23000)</f>
        <v>46000</v>
      </c>
      <c r="M113" s="18">
        <v>23000</v>
      </c>
      <c r="N113" s="20">
        <f>E113+F113+G113+H113+I113+J113+K113+L113+M113</f>
        <v>493500</v>
      </c>
      <c r="P113" s="7"/>
    </row>
    <row r="114" spans="1:16" ht="27" customHeight="1" x14ac:dyDescent="0.4">
      <c r="A114" s="40"/>
      <c r="B114" s="46" t="s">
        <v>116</v>
      </c>
      <c r="C114" s="43" t="s">
        <v>251</v>
      </c>
      <c r="D114" s="43" t="s">
        <v>288</v>
      </c>
      <c r="E114" s="25">
        <v>1371191.2</v>
      </c>
      <c r="F114" s="25">
        <v>0</v>
      </c>
      <c r="G114" s="22"/>
      <c r="H114" s="25"/>
      <c r="I114" s="25"/>
      <c r="J114" s="25"/>
      <c r="K114" s="25"/>
      <c r="L114" s="25"/>
      <c r="M114" s="25"/>
      <c r="N114" s="26">
        <f>E114+F114+G114+H114+I114</f>
        <v>1371191.2</v>
      </c>
      <c r="P114" s="7"/>
    </row>
    <row r="115" spans="1:16" ht="26.25" customHeight="1" x14ac:dyDescent="0.4">
      <c r="A115" s="40"/>
      <c r="B115" s="41" t="s">
        <v>117</v>
      </c>
      <c r="C115" s="42" t="s">
        <v>194</v>
      </c>
      <c r="D115" s="42" t="s">
        <v>288</v>
      </c>
      <c r="E115" s="27">
        <v>84544</v>
      </c>
      <c r="F115" s="18">
        <v>0</v>
      </c>
      <c r="G115" s="22"/>
      <c r="H115" s="18"/>
      <c r="I115" s="18"/>
      <c r="J115" s="18"/>
      <c r="K115" s="18"/>
      <c r="L115" s="18"/>
      <c r="M115" s="18"/>
      <c r="N115" s="20">
        <f>E115+F115+G115+H115+I115</f>
        <v>84544</v>
      </c>
      <c r="P115" s="7"/>
    </row>
    <row r="116" spans="1:16" ht="27" customHeight="1" x14ac:dyDescent="0.4">
      <c r="A116" s="40"/>
      <c r="B116" s="41" t="s">
        <v>118</v>
      </c>
      <c r="C116" s="42" t="s">
        <v>194</v>
      </c>
      <c r="D116" s="42" t="s">
        <v>288</v>
      </c>
      <c r="E116" s="18">
        <v>3400.05</v>
      </c>
      <c r="F116" s="18">
        <v>0</v>
      </c>
      <c r="G116" s="22"/>
      <c r="H116" s="18"/>
      <c r="I116" s="18"/>
      <c r="J116" s="18"/>
      <c r="K116" s="18"/>
      <c r="L116" s="18"/>
      <c r="M116" s="18"/>
      <c r="N116" s="20">
        <f>E116+F116+G116+H116+I116</f>
        <v>3400.05</v>
      </c>
      <c r="P116" s="7"/>
    </row>
    <row r="117" spans="1:16" ht="25.5" customHeight="1" x14ac:dyDescent="0.4">
      <c r="A117" s="40"/>
      <c r="B117" s="41" t="s">
        <v>119</v>
      </c>
      <c r="C117" s="42" t="s">
        <v>252</v>
      </c>
      <c r="D117" s="42" t="s">
        <v>288</v>
      </c>
      <c r="E117" s="18">
        <v>0</v>
      </c>
      <c r="F117" s="18">
        <v>0</v>
      </c>
      <c r="G117" s="22"/>
      <c r="H117" s="18"/>
      <c r="I117" s="18"/>
      <c r="J117" s="18"/>
      <c r="K117" s="18"/>
      <c r="L117" s="18"/>
      <c r="M117" s="18"/>
      <c r="N117" s="20">
        <f>E117+F117+G117+H117+I117</f>
        <v>0</v>
      </c>
      <c r="P117" s="7"/>
    </row>
    <row r="118" spans="1:16" ht="25.5" customHeight="1" x14ac:dyDescent="0.4">
      <c r="A118" s="40"/>
      <c r="B118" s="41" t="s">
        <v>120</v>
      </c>
      <c r="C118" s="42" t="s">
        <v>224</v>
      </c>
      <c r="D118" s="42" t="s">
        <v>288</v>
      </c>
      <c r="E118" s="18">
        <v>188100</v>
      </c>
      <c r="F118" s="18">
        <v>0</v>
      </c>
      <c r="G118" s="22"/>
      <c r="H118" s="18"/>
      <c r="I118" s="18"/>
      <c r="J118" s="18"/>
      <c r="K118" s="18"/>
      <c r="L118" s="18"/>
      <c r="M118" s="18"/>
      <c r="N118" s="20">
        <f>E118+F118+G118+H118+I118</f>
        <v>188100</v>
      </c>
      <c r="P118" s="7"/>
    </row>
    <row r="119" spans="1:16" ht="23.25" customHeight="1" x14ac:dyDescent="0.4">
      <c r="A119" s="40"/>
      <c r="B119" s="41" t="s">
        <v>121</v>
      </c>
      <c r="C119" s="42" t="s">
        <v>194</v>
      </c>
      <c r="D119" s="42" t="s">
        <v>288</v>
      </c>
      <c r="E119" s="18">
        <v>0</v>
      </c>
      <c r="F119" s="18">
        <v>0</v>
      </c>
      <c r="G119" s="22"/>
      <c r="H119" s="18"/>
      <c r="I119" s="18"/>
      <c r="J119" s="18"/>
      <c r="K119" s="18"/>
      <c r="L119" s="18">
        <v>44500</v>
      </c>
      <c r="M119" s="18">
        <v>8800</v>
      </c>
      <c r="N119" s="20">
        <f>E119+F119+G119+H119+I119+K119+L119+J119+M119</f>
        <v>53300</v>
      </c>
      <c r="P119" s="7"/>
    </row>
    <row r="120" spans="1:16" ht="25.5" customHeight="1" x14ac:dyDescent="0.4">
      <c r="A120" s="40"/>
      <c r="B120" s="41" t="s">
        <v>122</v>
      </c>
      <c r="C120" s="42" t="s">
        <v>253</v>
      </c>
      <c r="D120" s="42" t="s">
        <v>288</v>
      </c>
      <c r="E120" s="18">
        <v>0</v>
      </c>
      <c r="F120" s="18">
        <v>0</v>
      </c>
      <c r="G120" s="22"/>
      <c r="H120" s="18"/>
      <c r="I120" s="18"/>
      <c r="J120" s="18"/>
      <c r="K120" s="18"/>
      <c r="L120" s="18"/>
      <c r="M120" s="18"/>
      <c r="N120" s="20">
        <f>E120+F120+G120+H120+I120</f>
        <v>0</v>
      </c>
      <c r="P120" s="7"/>
    </row>
    <row r="121" spans="1:16" ht="23.25" customHeight="1" x14ac:dyDescent="0.4">
      <c r="A121" s="40"/>
      <c r="B121" s="41" t="s">
        <v>300</v>
      </c>
      <c r="C121" s="42" t="s">
        <v>224</v>
      </c>
      <c r="D121" s="42" t="s">
        <v>288</v>
      </c>
      <c r="E121" s="18"/>
      <c r="F121" s="18"/>
      <c r="G121" s="22"/>
      <c r="H121" s="18"/>
      <c r="I121" s="18"/>
      <c r="J121" s="18"/>
      <c r="K121" s="18"/>
      <c r="L121" s="18"/>
      <c r="M121" s="18">
        <v>108530.5</v>
      </c>
      <c r="N121" s="20">
        <f>E121+F121+G121+H121+I121+J121+K121+L121+M121</f>
        <v>108530.5</v>
      </c>
      <c r="P121" s="7"/>
    </row>
    <row r="122" spans="1:16" ht="22.5" customHeight="1" x14ac:dyDescent="0.4">
      <c r="A122" s="40"/>
      <c r="B122" s="41" t="s">
        <v>123</v>
      </c>
      <c r="C122" s="42" t="s">
        <v>194</v>
      </c>
      <c r="D122" s="42" t="s">
        <v>288</v>
      </c>
      <c r="E122" s="18">
        <v>0</v>
      </c>
      <c r="F122" s="18">
        <v>0</v>
      </c>
      <c r="G122" s="22"/>
      <c r="H122" s="18"/>
      <c r="I122" s="18"/>
      <c r="J122" s="18"/>
      <c r="K122" s="18"/>
      <c r="L122" s="18"/>
      <c r="M122" s="18"/>
      <c r="N122" s="20">
        <f>E122+F122+G122+H122+I122</f>
        <v>0</v>
      </c>
      <c r="P122" s="7"/>
    </row>
    <row r="123" spans="1:16" ht="28.5" customHeight="1" x14ac:dyDescent="0.4">
      <c r="A123" s="40"/>
      <c r="B123" s="41" t="s">
        <v>124</v>
      </c>
      <c r="C123" s="42" t="s">
        <v>254</v>
      </c>
      <c r="D123" s="43" t="s">
        <v>288</v>
      </c>
      <c r="E123" s="18">
        <v>0</v>
      </c>
      <c r="F123" s="18">
        <v>0</v>
      </c>
      <c r="G123" s="22"/>
      <c r="H123" s="18"/>
      <c r="I123" s="18"/>
      <c r="J123" s="18"/>
      <c r="K123" s="18"/>
      <c r="L123" s="18"/>
      <c r="M123" s="18"/>
      <c r="N123" s="20">
        <f>E123+F123+G123+H123+I123</f>
        <v>0</v>
      </c>
      <c r="P123" s="7"/>
    </row>
    <row r="124" spans="1:16" ht="33" customHeight="1" x14ac:dyDescent="0.4">
      <c r="A124" s="40"/>
      <c r="B124" s="41" t="s">
        <v>125</v>
      </c>
      <c r="C124" s="42" t="s">
        <v>252</v>
      </c>
      <c r="D124" s="42" t="s">
        <v>288</v>
      </c>
      <c r="E124" s="18">
        <v>2300461.92</v>
      </c>
      <c r="F124" s="18">
        <v>0</v>
      </c>
      <c r="G124" s="22"/>
      <c r="H124" s="18"/>
      <c r="I124" s="18"/>
      <c r="J124" s="18"/>
      <c r="K124" s="18"/>
      <c r="L124" s="18"/>
      <c r="M124" s="18"/>
      <c r="N124" s="20">
        <f>E124+F124+G124+H124+I124</f>
        <v>2300461.92</v>
      </c>
      <c r="P124" s="7"/>
    </row>
    <row r="125" spans="1:16" ht="29.25" customHeight="1" x14ac:dyDescent="0.4">
      <c r="A125" s="40"/>
      <c r="B125" s="41" t="s">
        <v>126</v>
      </c>
      <c r="C125" s="42" t="s">
        <v>255</v>
      </c>
      <c r="D125" s="42" t="s">
        <v>288</v>
      </c>
      <c r="E125" s="18">
        <v>28020</v>
      </c>
      <c r="F125" s="18">
        <v>0</v>
      </c>
      <c r="G125" s="22"/>
      <c r="H125" s="18"/>
      <c r="I125" s="18"/>
      <c r="J125" s="18"/>
      <c r="K125" s="18"/>
      <c r="L125" s="18"/>
      <c r="M125" s="18"/>
      <c r="N125" s="20">
        <f>E125+F125+G125+H125+I125</f>
        <v>28020</v>
      </c>
      <c r="P125" s="7"/>
    </row>
    <row r="126" spans="1:16" ht="24.75" customHeight="1" x14ac:dyDescent="0.4">
      <c r="A126" s="40"/>
      <c r="B126" s="41" t="s">
        <v>127</v>
      </c>
      <c r="C126" s="42"/>
      <c r="D126" s="42" t="s">
        <v>288</v>
      </c>
      <c r="E126" s="18">
        <v>0</v>
      </c>
      <c r="F126" s="18">
        <v>0</v>
      </c>
      <c r="G126" s="22">
        <v>154698</v>
      </c>
      <c r="H126" s="18"/>
      <c r="I126" s="18"/>
      <c r="J126" s="18"/>
      <c r="K126" s="18"/>
      <c r="L126" s="18"/>
      <c r="M126" s="18"/>
      <c r="N126" s="20">
        <f>E126+F126+G126+H126+I126</f>
        <v>154698</v>
      </c>
      <c r="P126" s="7"/>
    </row>
    <row r="127" spans="1:16" ht="27" customHeight="1" x14ac:dyDescent="0.4">
      <c r="A127" s="40">
        <v>18</v>
      </c>
      <c r="B127" s="41" t="s">
        <v>128</v>
      </c>
      <c r="C127" s="42" t="s">
        <v>256</v>
      </c>
      <c r="D127" s="42" t="s">
        <v>288</v>
      </c>
      <c r="E127" s="18">
        <v>130224.8</v>
      </c>
      <c r="F127" s="18">
        <v>0</v>
      </c>
      <c r="G127" s="22">
        <v>90207</v>
      </c>
      <c r="H127" s="18"/>
      <c r="I127" s="18"/>
      <c r="J127" s="18"/>
      <c r="K127" s="18">
        <f>(6608+187502)</f>
        <v>194110</v>
      </c>
      <c r="L127" s="18">
        <v>204376</v>
      </c>
      <c r="M127" s="18"/>
      <c r="N127" s="20">
        <f>E127+F127+G127+H127+I127+J127+K127+L127+M127</f>
        <v>618917.80000000005</v>
      </c>
      <c r="P127" s="7"/>
    </row>
    <row r="128" spans="1:16" ht="26.25" customHeight="1" x14ac:dyDescent="0.4">
      <c r="A128" s="40">
        <v>19</v>
      </c>
      <c r="B128" s="41" t="s">
        <v>129</v>
      </c>
      <c r="C128" s="42" t="s">
        <v>192</v>
      </c>
      <c r="D128" s="42" t="s">
        <v>288</v>
      </c>
      <c r="E128" s="18">
        <v>327450</v>
      </c>
      <c r="F128" s="18">
        <v>0</v>
      </c>
      <c r="G128" s="22"/>
      <c r="H128" s="18"/>
      <c r="I128" s="18"/>
      <c r="J128" s="18"/>
      <c r="K128" s="18"/>
      <c r="L128" s="18"/>
      <c r="M128" s="18"/>
      <c r="N128" s="20">
        <f>E128+F128+G128+H128+I128</f>
        <v>327450</v>
      </c>
      <c r="P128" s="7"/>
    </row>
    <row r="129" spans="1:16" ht="23.25" customHeight="1" x14ac:dyDescent="0.4">
      <c r="A129" s="40">
        <v>20</v>
      </c>
      <c r="B129" s="41" t="s">
        <v>130</v>
      </c>
      <c r="C129" s="42" t="s">
        <v>192</v>
      </c>
      <c r="D129" s="42" t="s">
        <v>288</v>
      </c>
      <c r="E129" s="18">
        <v>362225</v>
      </c>
      <c r="F129" s="18">
        <v>0</v>
      </c>
      <c r="G129" s="22"/>
      <c r="H129" s="18"/>
      <c r="I129" s="18"/>
      <c r="J129" s="18"/>
      <c r="K129" s="18"/>
      <c r="L129" s="18"/>
      <c r="M129" s="18"/>
      <c r="N129" s="20">
        <f>E129+F129+G129+H129+I129</f>
        <v>362225</v>
      </c>
      <c r="P129" s="7"/>
    </row>
    <row r="130" spans="1:16" ht="26.25" customHeight="1" x14ac:dyDescent="0.4">
      <c r="A130" s="40">
        <v>21</v>
      </c>
      <c r="B130" s="41" t="s">
        <v>131</v>
      </c>
      <c r="C130" s="42" t="s">
        <v>257</v>
      </c>
      <c r="D130" s="42" t="s">
        <v>288</v>
      </c>
      <c r="E130" s="18">
        <v>1108434.75</v>
      </c>
      <c r="F130" s="18">
        <v>0</v>
      </c>
      <c r="G130" s="22"/>
      <c r="H130" s="18"/>
      <c r="I130" s="18"/>
      <c r="J130" s="18"/>
      <c r="K130" s="18"/>
      <c r="L130" s="18"/>
      <c r="M130" s="18"/>
      <c r="N130" s="20">
        <f>E130+F130+G130+H130+I130</f>
        <v>1108434.75</v>
      </c>
      <c r="P130" s="7"/>
    </row>
    <row r="131" spans="1:16" ht="26.25" customHeight="1" x14ac:dyDescent="0.4">
      <c r="A131" s="40"/>
      <c r="B131" s="41" t="s">
        <v>132</v>
      </c>
      <c r="C131" s="42" t="s">
        <v>208</v>
      </c>
      <c r="D131" s="42" t="s">
        <v>289</v>
      </c>
      <c r="E131" s="18">
        <v>4372121.7</v>
      </c>
      <c r="F131" s="18">
        <v>0</v>
      </c>
      <c r="G131" s="22"/>
      <c r="H131" s="18"/>
      <c r="I131" s="18"/>
      <c r="J131" s="18"/>
      <c r="K131" s="18"/>
      <c r="L131" s="18"/>
      <c r="M131" s="18"/>
      <c r="N131" s="20">
        <f>E131+F131+G131+H131+I131</f>
        <v>4372121.7</v>
      </c>
      <c r="P131" s="7"/>
    </row>
    <row r="132" spans="1:16" ht="26.25" customHeight="1" x14ac:dyDescent="0.4">
      <c r="A132" s="40"/>
      <c r="B132" s="41" t="s">
        <v>133</v>
      </c>
      <c r="C132" s="42" t="s">
        <v>194</v>
      </c>
      <c r="D132" s="42" t="s">
        <v>288</v>
      </c>
      <c r="E132" s="18">
        <v>0</v>
      </c>
      <c r="F132" s="18">
        <v>0</v>
      </c>
      <c r="G132" s="22">
        <v>265428.7</v>
      </c>
      <c r="H132" s="18">
        <f>(162500+50000)</f>
        <v>212500</v>
      </c>
      <c r="I132" s="18">
        <f>(39000+189250)</f>
        <v>228250</v>
      </c>
      <c r="J132" s="25">
        <v>41923.25</v>
      </c>
      <c r="K132" s="25">
        <v>108090.52</v>
      </c>
      <c r="L132" s="25">
        <f>(129446+74889.05)</f>
        <v>204335.05</v>
      </c>
      <c r="M132" s="25">
        <v>27115</v>
      </c>
      <c r="N132" s="20">
        <f>E132+F132+G132+H132+I132+J132+K132+L132+M132</f>
        <v>1087642.52</v>
      </c>
      <c r="P132" s="7"/>
    </row>
    <row r="133" spans="1:16" ht="26.25" customHeight="1" x14ac:dyDescent="0.4">
      <c r="A133" s="40"/>
      <c r="B133" s="41" t="s">
        <v>134</v>
      </c>
      <c r="C133" s="42" t="s">
        <v>225</v>
      </c>
      <c r="D133" s="42" t="s">
        <v>288</v>
      </c>
      <c r="E133" s="18"/>
      <c r="F133" s="18"/>
      <c r="G133" s="22"/>
      <c r="H133" s="18"/>
      <c r="I133" s="18"/>
      <c r="J133" s="18"/>
      <c r="K133" s="18"/>
      <c r="L133" s="18"/>
      <c r="M133" s="18"/>
      <c r="N133" s="20">
        <f>E133+F133+G133+H133+I133</f>
        <v>0</v>
      </c>
      <c r="P133" s="7"/>
    </row>
    <row r="134" spans="1:16" ht="26.25" customHeight="1" x14ac:dyDescent="0.4">
      <c r="A134" s="40"/>
      <c r="B134" s="41" t="s">
        <v>135</v>
      </c>
      <c r="C134" s="42" t="s">
        <v>258</v>
      </c>
      <c r="D134" s="42" t="s">
        <v>288</v>
      </c>
      <c r="E134" s="18">
        <v>0</v>
      </c>
      <c r="F134" s="18">
        <v>0</v>
      </c>
      <c r="G134" s="22"/>
      <c r="H134" s="18"/>
      <c r="I134" s="18"/>
      <c r="J134" s="18"/>
      <c r="K134" s="18"/>
      <c r="L134" s="18">
        <v>560523.6</v>
      </c>
      <c r="M134" s="18"/>
      <c r="N134" s="20">
        <f>E134+F134+G134+H134+I134+J134+K134+L134</f>
        <v>560523.6</v>
      </c>
      <c r="P134" s="7"/>
    </row>
    <row r="135" spans="1:16" ht="26.25" customHeight="1" x14ac:dyDescent="0.4">
      <c r="A135" s="40"/>
      <c r="B135" s="41" t="s">
        <v>136</v>
      </c>
      <c r="C135" s="42" t="s">
        <v>259</v>
      </c>
      <c r="D135" s="42" t="s">
        <v>288</v>
      </c>
      <c r="E135" s="18">
        <v>0</v>
      </c>
      <c r="F135" s="18">
        <v>0</v>
      </c>
      <c r="G135" s="22"/>
      <c r="H135" s="18">
        <v>21904.15</v>
      </c>
      <c r="I135" s="18"/>
      <c r="J135" s="18"/>
      <c r="K135" s="18">
        <v>55489.5</v>
      </c>
      <c r="L135" s="18"/>
      <c r="M135" s="18"/>
      <c r="N135" s="20">
        <f>E135+F135+G135+H135+I135+J135+K135</f>
        <v>77393.649999999994</v>
      </c>
      <c r="P135" s="7"/>
    </row>
    <row r="136" spans="1:16" ht="26.25" customHeight="1" x14ac:dyDescent="0.4">
      <c r="A136" s="40"/>
      <c r="B136" s="46" t="s">
        <v>137</v>
      </c>
      <c r="C136" s="43" t="s">
        <v>200</v>
      </c>
      <c r="D136" s="42" t="s">
        <v>288</v>
      </c>
      <c r="E136" s="22">
        <v>1659000</v>
      </c>
      <c r="F136" s="25">
        <v>0</v>
      </c>
      <c r="G136" s="22">
        <v>22000</v>
      </c>
      <c r="H136" s="18"/>
      <c r="I136" s="18"/>
      <c r="J136" s="18"/>
      <c r="K136" s="18"/>
      <c r="L136" s="18"/>
      <c r="M136" s="18"/>
      <c r="N136" s="20">
        <f>E136+F136+G136+H136+I136</f>
        <v>1681000</v>
      </c>
      <c r="P136" s="7"/>
    </row>
    <row r="137" spans="1:16" ht="26.25" customHeight="1" x14ac:dyDescent="0.4">
      <c r="A137" s="40"/>
      <c r="B137" s="41" t="s">
        <v>138</v>
      </c>
      <c r="C137" s="42" t="s">
        <v>193</v>
      </c>
      <c r="D137" s="42" t="s">
        <v>288</v>
      </c>
      <c r="E137" s="18">
        <v>0</v>
      </c>
      <c r="F137" s="18">
        <v>0</v>
      </c>
      <c r="G137" s="22"/>
      <c r="H137" s="18"/>
      <c r="I137" s="18"/>
      <c r="J137" s="18"/>
      <c r="K137" s="18"/>
      <c r="L137" s="18"/>
      <c r="M137" s="18"/>
      <c r="N137" s="20">
        <f>E137+F137+G137+H137+I137</f>
        <v>0</v>
      </c>
      <c r="P137" s="7"/>
    </row>
    <row r="138" spans="1:16" ht="26.25" customHeight="1" x14ac:dyDescent="0.4">
      <c r="A138" s="40"/>
      <c r="B138" s="41" t="s">
        <v>309</v>
      </c>
      <c r="C138" s="42" t="s">
        <v>201</v>
      </c>
      <c r="D138" s="42" t="s">
        <v>288</v>
      </c>
      <c r="E138" s="18">
        <v>0</v>
      </c>
      <c r="F138" s="18">
        <v>0</v>
      </c>
      <c r="G138" s="22"/>
      <c r="H138" s="18"/>
      <c r="I138" s="18"/>
      <c r="J138" s="18">
        <v>512582.79</v>
      </c>
      <c r="K138" s="18"/>
      <c r="L138" s="18">
        <v>654521.14</v>
      </c>
      <c r="M138" s="18">
        <v>497197.21</v>
      </c>
      <c r="N138" s="20">
        <f>E138+F138+G138+H138+I138+J138+K138+L138+M138</f>
        <v>1664301.14</v>
      </c>
      <c r="P138" s="7"/>
    </row>
    <row r="139" spans="1:16" ht="26.25" customHeight="1" x14ac:dyDescent="0.4">
      <c r="A139" s="40"/>
      <c r="B139" s="41" t="s">
        <v>139</v>
      </c>
      <c r="C139" s="42" t="s">
        <v>194</v>
      </c>
      <c r="D139" s="42" t="s">
        <v>288</v>
      </c>
      <c r="E139" s="18">
        <v>0</v>
      </c>
      <c r="F139" s="18">
        <v>0</v>
      </c>
      <c r="G139" s="22"/>
      <c r="H139" s="18"/>
      <c r="I139" s="18"/>
      <c r="J139" s="18"/>
      <c r="K139" s="18"/>
      <c r="L139" s="18"/>
      <c r="M139" s="18"/>
      <c r="N139" s="20">
        <f>E139+F139+G139+H139+I139</f>
        <v>0</v>
      </c>
      <c r="P139" s="7"/>
    </row>
    <row r="140" spans="1:16" ht="26.25" customHeight="1" x14ac:dyDescent="0.4">
      <c r="A140" s="40"/>
      <c r="B140" s="41" t="s">
        <v>140</v>
      </c>
      <c r="C140" s="42" t="s">
        <v>194</v>
      </c>
      <c r="D140" s="42" t="s">
        <v>288</v>
      </c>
      <c r="E140" s="18">
        <v>0</v>
      </c>
      <c r="F140" s="18">
        <v>0</v>
      </c>
      <c r="G140" s="22"/>
      <c r="H140" s="18"/>
      <c r="I140" s="18"/>
      <c r="J140" s="18"/>
      <c r="K140" s="18">
        <f>(146531.86+202338.8)</f>
        <v>348870.66</v>
      </c>
      <c r="L140" s="18">
        <f>(43563.2+85904)</f>
        <v>129467.2</v>
      </c>
      <c r="M140" s="18">
        <v>85904</v>
      </c>
      <c r="N140" s="20">
        <f>E140+F140+G140+H140+I140+J140+K140+L140+M140</f>
        <v>564241.86</v>
      </c>
      <c r="P140" s="7"/>
    </row>
    <row r="141" spans="1:16" ht="26.25" customHeight="1" x14ac:dyDescent="0.4">
      <c r="A141" s="40"/>
      <c r="B141" s="41" t="s">
        <v>141</v>
      </c>
      <c r="C141" s="42" t="s">
        <v>226</v>
      </c>
      <c r="D141" s="42" t="s">
        <v>288</v>
      </c>
      <c r="E141" s="18">
        <v>141141</v>
      </c>
      <c r="F141" s="18"/>
      <c r="G141" s="22"/>
      <c r="H141" s="18"/>
      <c r="I141" s="18"/>
      <c r="J141" s="18"/>
      <c r="K141" s="18"/>
      <c r="L141" s="18"/>
      <c r="M141" s="18"/>
      <c r="N141" s="20">
        <f>E141+F141+G141+H141+I141</f>
        <v>141141</v>
      </c>
      <c r="P141" s="7"/>
    </row>
    <row r="142" spans="1:16" ht="26.25" customHeight="1" x14ac:dyDescent="0.4">
      <c r="A142" s="40"/>
      <c r="B142" s="41" t="s">
        <v>142</v>
      </c>
      <c r="C142" s="42" t="s">
        <v>194</v>
      </c>
      <c r="D142" s="42" t="s">
        <v>288</v>
      </c>
      <c r="E142" s="18">
        <v>136930.20000000001</v>
      </c>
      <c r="F142" s="18">
        <v>0</v>
      </c>
      <c r="G142" s="22"/>
      <c r="H142" s="18"/>
      <c r="I142" s="18"/>
      <c r="J142" s="18"/>
      <c r="K142" s="18"/>
      <c r="L142" s="18"/>
      <c r="M142" s="18"/>
      <c r="N142" s="20">
        <f>E142+F142+G142+H142+I142</f>
        <v>136930.20000000001</v>
      </c>
      <c r="P142" s="7"/>
    </row>
    <row r="143" spans="1:16" ht="26.25" customHeight="1" x14ac:dyDescent="0.4">
      <c r="A143" s="40"/>
      <c r="B143" s="41" t="s">
        <v>143</v>
      </c>
      <c r="C143" s="42" t="s">
        <v>256</v>
      </c>
      <c r="D143" s="42" t="s">
        <v>288</v>
      </c>
      <c r="E143" s="18">
        <v>0</v>
      </c>
      <c r="F143" s="18">
        <v>0</v>
      </c>
      <c r="G143" s="22">
        <v>9900</v>
      </c>
      <c r="H143" s="18"/>
      <c r="I143" s="18"/>
      <c r="J143" s="18"/>
      <c r="K143" s="18"/>
      <c r="L143" s="18"/>
      <c r="M143" s="18"/>
      <c r="N143" s="20">
        <f>E143+F143+G143+H143+I143+J143</f>
        <v>9900</v>
      </c>
      <c r="P143" s="7"/>
    </row>
    <row r="144" spans="1:16" ht="26.25" customHeight="1" x14ac:dyDescent="0.4">
      <c r="A144" s="40"/>
      <c r="B144" s="41" t="s">
        <v>144</v>
      </c>
      <c r="C144" s="42" t="s">
        <v>194</v>
      </c>
      <c r="D144" s="42" t="s">
        <v>288</v>
      </c>
      <c r="E144" s="18">
        <v>0</v>
      </c>
      <c r="F144" s="18">
        <v>0</v>
      </c>
      <c r="G144" s="22"/>
      <c r="H144" s="18"/>
      <c r="I144" s="18"/>
      <c r="J144" s="18">
        <f>(25000+25000)</f>
        <v>50000</v>
      </c>
      <c r="K144" s="18">
        <v>104300</v>
      </c>
      <c r="L144" s="18"/>
      <c r="M144" s="18"/>
      <c r="N144" s="20">
        <f>E144+F144+G144+H144+I144+J144+K144</f>
        <v>154300</v>
      </c>
      <c r="P144" s="7"/>
    </row>
    <row r="145" spans="1:16" ht="26.25" customHeight="1" x14ac:dyDescent="0.4">
      <c r="A145" s="40"/>
      <c r="B145" s="41" t="s">
        <v>145</v>
      </c>
      <c r="C145" s="42" t="s">
        <v>260</v>
      </c>
      <c r="D145" s="42" t="s">
        <v>288</v>
      </c>
      <c r="E145" s="18"/>
      <c r="F145" s="18">
        <v>0</v>
      </c>
      <c r="G145" s="22"/>
      <c r="H145" s="25"/>
      <c r="I145" s="18"/>
      <c r="J145" s="18"/>
      <c r="K145" s="18"/>
      <c r="L145" s="18"/>
      <c r="M145" s="18"/>
      <c r="N145" s="20">
        <f>E145+F145+G145+H145+I145</f>
        <v>0</v>
      </c>
      <c r="P145" s="7"/>
    </row>
    <row r="146" spans="1:16" ht="26.25" customHeight="1" x14ac:dyDescent="0.4">
      <c r="A146" s="40"/>
      <c r="B146" s="41" t="s">
        <v>146</v>
      </c>
      <c r="C146" s="42" t="s">
        <v>261</v>
      </c>
      <c r="D146" s="42" t="s">
        <v>288</v>
      </c>
      <c r="E146" s="18">
        <v>0</v>
      </c>
      <c r="F146" s="18">
        <v>0</v>
      </c>
      <c r="G146" s="22">
        <v>47200</v>
      </c>
      <c r="H146" s="18">
        <v>23600</v>
      </c>
      <c r="I146" s="18">
        <v>23600</v>
      </c>
      <c r="J146" s="18">
        <v>23600</v>
      </c>
      <c r="K146" s="18"/>
      <c r="L146" s="18">
        <f>(23600+23600)</f>
        <v>47200</v>
      </c>
      <c r="M146" s="18"/>
      <c r="N146" s="20">
        <f>E146+F146+G146+H146+I146+J146+K146+L146</f>
        <v>165200</v>
      </c>
      <c r="P146" s="7"/>
    </row>
    <row r="147" spans="1:16" ht="26.25" customHeight="1" x14ac:dyDescent="0.4">
      <c r="A147" s="40" t="s">
        <v>292</v>
      </c>
      <c r="B147" s="41" t="s">
        <v>147</v>
      </c>
      <c r="C147" s="42" t="s">
        <v>216</v>
      </c>
      <c r="D147" s="42" t="s">
        <v>288</v>
      </c>
      <c r="E147" s="18">
        <v>0</v>
      </c>
      <c r="F147" s="18">
        <v>0</v>
      </c>
      <c r="G147" s="18">
        <v>135640</v>
      </c>
      <c r="H147" s="18"/>
      <c r="I147" s="18"/>
      <c r="J147" s="18"/>
      <c r="K147" s="18"/>
      <c r="L147" s="18"/>
      <c r="M147" s="18"/>
      <c r="N147" s="20">
        <f t="shared" ref="N147:N152" si="5">E147+F147+G147+H147+I147</f>
        <v>135640</v>
      </c>
      <c r="P147" s="7"/>
    </row>
    <row r="148" spans="1:16" ht="26.25" customHeight="1" x14ac:dyDescent="0.4">
      <c r="A148" s="40"/>
      <c r="B148" s="41" t="s">
        <v>148</v>
      </c>
      <c r="C148" s="42" t="s">
        <v>194</v>
      </c>
      <c r="D148" s="42" t="s">
        <v>288</v>
      </c>
      <c r="E148" s="18">
        <v>0</v>
      </c>
      <c r="F148" s="18">
        <v>0</v>
      </c>
      <c r="G148" s="22">
        <v>21000</v>
      </c>
      <c r="H148" s="18"/>
      <c r="I148" s="18"/>
      <c r="J148" s="18"/>
      <c r="K148" s="18"/>
      <c r="L148" s="18"/>
      <c r="M148" s="18"/>
      <c r="N148" s="20">
        <f t="shared" si="5"/>
        <v>21000</v>
      </c>
      <c r="P148" s="7"/>
    </row>
    <row r="149" spans="1:16" ht="26.25" customHeight="1" x14ac:dyDescent="0.4">
      <c r="A149" s="40"/>
      <c r="B149" s="41" t="s">
        <v>149</v>
      </c>
      <c r="C149" s="42" t="s">
        <v>262</v>
      </c>
      <c r="D149" s="42" t="s">
        <v>288</v>
      </c>
      <c r="E149" s="18"/>
      <c r="F149" s="18"/>
      <c r="G149" s="22"/>
      <c r="H149" s="18"/>
      <c r="I149" s="18"/>
      <c r="J149" s="18"/>
      <c r="K149" s="18"/>
      <c r="L149" s="18"/>
      <c r="M149" s="18"/>
      <c r="N149" s="20">
        <f t="shared" si="5"/>
        <v>0</v>
      </c>
      <c r="P149" s="7"/>
    </row>
    <row r="150" spans="1:16" ht="26.25" customHeight="1" x14ac:dyDescent="0.4">
      <c r="A150" s="40"/>
      <c r="B150" s="41" t="s">
        <v>150</v>
      </c>
      <c r="C150" s="42" t="s">
        <v>194</v>
      </c>
      <c r="D150" s="42" t="s">
        <v>288</v>
      </c>
      <c r="E150" s="18">
        <v>0</v>
      </c>
      <c r="F150" s="18"/>
      <c r="G150" s="22"/>
      <c r="H150" s="18"/>
      <c r="I150" s="18"/>
      <c r="J150" s="18"/>
      <c r="K150" s="18"/>
      <c r="L150" s="18"/>
      <c r="M150" s="18"/>
      <c r="N150" s="20">
        <f t="shared" si="5"/>
        <v>0</v>
      </c>
      <c r="P150" s="7"/>
    </row>
    <row r="151" spans="1:16" ht="26.25" customHeight="1" x14ac:dyDescent="0.4">
      <c r="A151" s="40"/>
      <c r="B151" s="41" t="s">
        <v>151</v>
      </c>
      <c r="C151" s="42" t="s">
        <v>194</v>
      </c>
      <c r="D151" s="42" t="s">
        <v>288</v>
      </c>
      <c r="E151" s="18">
        <v>33250</v>
      </c>
      <c r="F151" s="18"/>
      <c r="G151" s="22"/>
      <c r="H151" s="18"/>
      <c r="I151" s="18"/>
      <c r="J151" s="18"/>
      <c r="K151" s="18"/>
      <c r="L151" s="18"/>
      <c r="M151" s="18"/>
      <c r="N151" s="20">
        <f t="shared" si="5"/>
        <v>33250</v>
      </c>
      <c r="P151" s="7"/>
    </row>
    <row r="152" spans="1:16" ht="26.25" customHeight="1" x14ac:dyDescent="0.4">
      <c r="A152" s="40"/>
      <c r="B152" s="41" t="s">
        <v>152</v>
      </c>
      <c r="C152" s="42" t="s">
        <v>263</v>
      </c>
      <c r="D152" s="42" t="s">
        <v>288</v>
      </c>
      <c r="E152" s="18">
        <v>82270</v>
      </c>
      <c r="F152" s="18"/>
      <c r="G152" s="22"/>
      <c r="H152" s="18"/>
      <c r="I152" s="18"/>
      <c r="J152" s="18"/>
      <c r="K152" s="18"/>
      <c r="L152" s="18"/>
      <c r="M152" s="18"/>
      <c r="N152" s="20">
        <f t="shared" si="5"/>
        <v>82270</v>
      </c>
      <c r="P152" s="7"/>
    </row>
    <row r="153" spans="1:16" ht="26.25" customHeight="1" x14ac:dyDescent="0.4">
      <c r="A153" s="40"/>
      <c r="B153" s="41" t="s">
        <v>153</v>
      </c>
      <c r="C153" s="42" t="s">
        <v>194</v>
      </c>
      <c r="D153" s="42" t="s">
        <v>288</v>
      </c>
      <c r="E153" s="18"/>
      <c r="F153" s="18">
        <v>0</v>
      </c>
      <c r="G153" s="22"/>
      <c r="H153" s="18"/>
      <c r="I153" s="18"/>
      <c r="J153" s="18"/>
      <c r="K153" s="18">
        <f>(28700+86100)</f>
        <v>114800</v>
      </c>
      <c r="L153" s="18"/>
      <c r="M153" s="18"/>
      <c r="N153" s="20">
        <f>E153+F153+G153+H153+I153+J153+K153</f>
        <v>114800</v>
      </c>
      <c r="P153" s="7"/>
    </row>
    <row r="154" spans="1:16" ht="26.25" customHeight="1" x14ac:dyDescent="0.4">
      <c r="A154" s="40"/>
      <c r="B154" s="46" t="s">
        <v>154</v>
      </c>
      <c r="C154" s="43" t="s">
        <v>264</v>
      </c>
      <c r="D154" s="42" t="s">
        <v>288</v>
      </c>
      <c r="E154" s="28"/>
      <c r="F154" s="28">
        <v>0</v>
      </c>
      <c r="G154" s="22"/>
      <c r="H154" s="28"/>
      <c r="I154" s="28"/>
      <c r="J154" s="18"/>
      <c r="K154" s="18"/>
      <c r="L154" s="18"/>
      <c r="M154" s="18"/>
      <c r="N154" s="20">
        <f t="shared" ref="N154:N159" si="6">E154+F154+G154+H154+I154</f>
        <v>0</v>
      </c>
      <c r="P154" s="7"/>
    </row>
    <row r="155" spans="1:16" ht="26.25" customHeight="1" x14ac:dyDescent="0.4">
      <c r="A155" s="40"/>
      <c r="B155" s="41" t="s">
        <v>155</v>
      </c>
      <c r="C155" s="42" t="s">
        <v>265</v>
      </c>
      <c r="D155" s="42" t="s">
        <v>288</v>
      </c>
      <c r="E155" s="18">
        <v>50504</v>
      </c>
      <c r="F155" s="18">
        <v>0</v>
      </c>
      <c r="G155" s="22"/>
      <c r="H155" s="18"/>
      <c r="I155" s="18"/>
      <c r="J155" s="18"/>
      <c r="K155" s="18"/>
      <c r="L155" s="18"/>
      <c r="M155" s="18"/>
      <c r="N155" s="20">
        <f t="shared" si="6"/>
        <v>50504</v>
      </c>
      <c r="P155" s="7"/>
    </row>
    <row r="156" spans="1:16" ht="26.25" customHeight="1" x14ac:dyDescent="0.4">
      <c r="A156" s="40"/>
      <c r="B156" s="41" t="s">
        <v>156</v>
      </c>
      <c r="C156" s="42" t="s">
        <v>266</v>
      </c>
      <c r="D156" s="42" t="s">
        <v>288</v>
      </c>
      <c r="E156" s="27">
        <v>2596</v>
      </c>
      <c r="F156" s="18">
        <v>0</v>
      </c>
      <c r="G156" s="22"/>
      <c r="H156" s="18"/>
      <c r="I156" s="18"/>
      <c r="J156" s="18"/>
      <c r="K156" s="18"/>
      <c r="L156" s="18"/>
      <c r="M156" s="18"/>
      <c r="N156" s="20">
        <f t="shared" si="6"/>
        <v>2596</v>
      </c>
      <c r="P156" s="7"/>
    </row>
    <row r="157" spans="1:16" ht="26.25" customHeight="1" x14ac:dyDescent="0.4">
      <c r="A157" s="40"/>
      <c r="B157" s="41" t="s">
        <v>157</v>
      </c>
      <c r="C157" s="42"/>
      <c r="D157" s="42" t="s">
        <v>288</v>
      </c>
      <c r="E157" s="18">
        <v>0</v>
      </c>
      <c r="F157" s="18">
        <v>0</v>
      </c>
      <c r="G157" s="22"/>
      <c r="H157" s="18"/>
      <c r="I157" s="18"/>
      <c r="J157" s="18"/>
      <c r="K157" s="18"/>
      <c r="L157" s="18"/>
      <c r="M157" s="18"/>
      <c r="N157" s="20">
        <f t="shared" si="6"/>
        <v>0</v>
      </c>
      <c r="P157" s="7"/>
    </row>
    <row r="158" spans="1:16" ht="26.25" customHeight="1" x14ac:dyDescent="0.4">
      <c r="A158" s="40"/>
      <c r="B158" s="41" t="s">
        <v>158</v>
      </c>
      <c r="C158" s="42" t="s">
        <v>206</v>
      </c>
      <c r="D158" s="42" t="s">
        <v>288</v>
      </c>
      <c r="E158" s="18">
        <v>0</v>
      </c>
      <c r="F158" s="18">
        <v>0</v>
      </c>
      <c r="G158" s="22">
        <v>11800</v>
      </c>
      <c r="H158" s="18"/>
      <c r="I158" s="18"/>
      <c r="J158" s="18"/>
      <c r="K158" s="18"/>
      <c r="L158" s="18"/>
      <c r="M158" s="18"/>
      <c r="N158" s="20">
        <f t="shared" si="6"/>
        <v>11800</v>
      </c>
      <c r="P158" s="7"/>
    </row>
    <row r="159" spans="1:16" ht="26.25" customHeight="1" x14ac:dyDescent="0.4">
      <c r="A159" s="40"/>
      <c r="B159" s="41" t="s">
        <v>159</v>
      </c>
      <c r="C159" s="42" t="s">
        <v>263</v>
      </c>
      <c r="D159" s="42" t="s">
        <v>288</v>
      </c>
      <c r="E159" s="27">
        <v>738935.46</v>
      </c>
      <c r="F159" s="18">
        <v>0</v>
      </c>
      <c r="G159" s="22"/>
      <c r="H159" s="18"/>
      <c r="I159" s="18"/>
      <c r="J159" s="18"/>
      <c r="K159" s="18"/>
      <c r="L159" s="18"/>
      <c r="M159" s="18"/>
      <c r="N159" s="20">
        <f t="shared" si="6"/>
        <v>738935.46</v>
      </c>
      <c r="P159" s="7"/>
    </row>
    <row r="160" spans="1:16" ht="26.25" customHeight="1" x14ac:dyDescent="0.4">
      <c r="A160" s="40"/>
      <c r="B160" s="41" t="s">
        <v>160</v>
      </c>
      <c r="C160" s="42" t="s">
        <v>267</v>
      </c>
      <c r="D160" s="42" t="s">
        <v>288</v>
      </c>
      <c r="E160" s="27"/>
      <c r="F160" s="18"/>
      <c r="G160" s="22"/>
      <c r="H160" s="18"/>
      <c r="I160" s="18"/>
      <c r="J160" s="18"/>
      <c r="K160" s="18"/>
      <c r="L160" s="18">
        <v>12390</v>
      </c>
      <c r="M160" s="18"/>
      <c r="N160" s="20">
        <f>E160+F160+G160+H160+I160+J160+K160+L160+M160</f>
        <v>12390</v>
      </c>
      <c r="P160" s="7"/>
    </row>
    <row r="161" spans="1:16" ht="26.25" customHeight="1" x14ac:dyDescent="0.4">
      <c r="A161" s="40"/>
      <c r="B161" s="41" t="s">
        <v>161</v>
      </c>
      <c r="C161" s="42" t="s">
        <v>268</v>
      </c>
      <c r="D161" s="42" t="s">
        <v>288</v>
      </c>
      <c r="E161" s="18"/>
      <c r="F161" s="18">
        <v>0</v>
      </c>
      <c r="G161" s="22"/>
      <c r="H161" s="18"/>
      <c r="I161" s="18"/>
      <c r="J161" s="18"/>
      <c r="K161" s="18">
        <v>101058.5</v>
      </c>
      <c r="L161" s="18">
        <f>(86576.6)</f>
        <v>86576.6</v>
      </c>
      <c r="M161" s="18">
        <v>41064</v>
      </c>
      <c r="N161" s="20">
        <f>E161+F161+G161+H161+I161+J161+K161+L161+M161</f>
        <v>228699.1</v>
      </c>
      <c r="P161" s="7"/>
    </row>
    <row r="162" spans="1:16" ht="26.25" customHeight="1" x14ac:dyDescent="0.4">
      <c r="A162" s="40"/>
      <c r="B162" s="41" t="s">
        <v>162</v>
      </c>
      <c r="C162" s="42" t="s">
        <v>194</v>
      </c>
      <c r="D162" s="42" t="s">
        <v>288</v>
      </c>
      <c r="E162" s="18"/>
      <c r="F162" s="18">
        <v>0</v>
      </c>
      <c r="G162" s="22"/>
      <c r="H162" s="18"/>
      <c r="I162" s="18"/>
      <c r="J162" s="18"/>
      <c r="K162" s="18"/>
      <c r="L162" s="18">
        <v>530408.53</v>
      </c>
      <c r="M162" s="18"/>
      <c r="N162" s="20">
        <f>E162+F162+G162+H162+I162+K162+L162</f>
        <v>530408.53</v>
      </c>
      <c r="P162" s="7"/>
    </row>
    <row r="163" spans="1:16" ht="26.25" customHeight="1" x14ac:dyDescent="0.4">
      <c r="A163" s="40"/>
      <c r="B163" s="41" t="s">
        <v>163</v>
      </c>
      <c r="C163" s="42" t="s">
        <v>192</v>
      </c>
      <c r="D163" s="42" t="s">
        <v>288</v>
      </c>
      <c r="E163" s="18"/>
      <c r="F163" s="18">
        <v>0</v>
      </c>
      <c r="G163" s="22"/>
      <c r="H163" s="18">
        <f>(162659.83+161584+159788.8)</f>
        <v>484032.62999999995</v>
      </c>
      <c r="I163" s="18">
        <v>53011.5</v>
      </c>
      <c r="J163" s="18"/>
      <c r="K163" s="18">
        <v>93768.3</v>
      </c>
      <c r="L163" s="18"/>
      <c r="M163" s="18">
        <v>130980</v>
      </c>
      <c r="N163" s="20">
        <f>E163+F163+G163+H163+I163+M163</f>
        <v>668024.12999999989</v>
      </c>
      <c r="P163" s="7"/>
    </row>
    <row r="164" spans="1:16" ht="26.25" customHeight="1" x14ac:dyDescent="0.4">
      <c r="A164" s="40"/>
      <c r="B164" s="41" t="s">
        <v>164</v>
      </c>
      <c r="C164" s="42" t="s">
        <v>269</v>
      </c>
      <c r="D164" s="42" t="s">
        <v>288</v>
      </c>
      <c r="E164" s="18">
        <v>247094</v>
      </c>
      <c r="F164" s="18"/>
      <c r="G164" s="22"/>
      <c r="H164" s="18"/>
      <c r="I164" s="18"/>
      <c r="J164" s="18"/>
      <c r="K164" s="18"/>
      <c r="L164" s="18"/>
      <c r="M164" s="18"/>
      <c r="N164" s="20">
        <f t="shared" ref="N164:N174" si="7">E164+F164+G164+H164+I164</f>
        <v>247094</v>
      </c>
      <c r="P164" s="7"/>
    </row>
    <row r="165" spans="1:16" ht="26.25" customHeight="1" x14ac:dyDescent="0.4">
      <c r="A165" s="40"/>
      <c r="B165" s="41" t="s">
        <v>165</v>
      </c>
      <c r="C165" s="42" t="s">
        <v>213</v>
      </c>
      <c r="D165" s="42" t="s">
        <v>288</v>
      </c>
      <c r="E165" s="18">
        <v>0</v>
      </c>
      <c r="F165" s="18"/>
      <c r="G165" s="22">
        <v>169790</v>
      </c>
      <c r="H165" s="18"/>
      <c r="I165" s="18">
        <v>6200</v>
      </c>
      <c r="J165" s="18"/>
      <c r="K165" s="25">
        <f>(79600+6800+137800+12400)</f>
        <v>236600</v>
      </c>
      <c r="L165" s="18"/>
      <c r="M165" s="18">
        <f>(4250+31800+42300)</f>
        <v>78350</v>
      </c>
      <c r="N165" s="20">
        <f>E165+F165+G165+H165+I165+J165+K165+L165+M165</f>
        <v>490940</v>
      </c>
      <c r="P165" s="7"/>
    </row>
    <row r="166" spans="1:16" ht="26.25" customHeight="1" x14ac:dyDescent="0.4">
      <c r="A166" s="40"/>
      <c r="B166" s="41" t="s">
        <v>166</v>
      </c>
      <c r="C166" s="42" t="s">
        <v>206</v>
      </c>
      <c r="D166" s="42" t="s">
        <v>288</v>
      </c>
      <c r="E166" s="18">
        <v>0</v>
      </c>
      <c r="F166" s="18">
        <v>0</v>
      </c>
      <c r="G166" s="22"/>
      <c r="H166" s="18"/>
      <c r="I166" s="18"/>
      <c r="J166" s="18"/>
      <c r="K166" s="18"/>
      <c r="L166" s="18"/>
      <c r="M166" s="18"/>
      <c r="N166" s="20">
        <f t="shared" si="7"/>
        <v>0</v>
      </c>
      <c r="P166" s="7"/>
    </row>
    <row r="167" spans="1:16" ht="26.25" customHeight="1" x14ac:dyDescent="0.4">
      <c r="A167" s="40"/>
      <c r="B167" s="41" t="s">
        <v>167</v>
      </c>
      <c r="C167" s="42" t="s">
        <v>270</v>
      </c>
      <c r="D167" s="42" t="s">
        <v>288</v>
      </c>
      <c r="E167" s="18">
        <v>0</v>
      </c>
      <c r="F167" s="18">
        <v>0</v>
      </c>
      <c r="G167" s="22"/>
      <c r="H167" s="18"/>
      <c r="I167" s="18"/>
      <c r="J167" s="18"/>
      <c r="K167" s="18"/>
      <c r="L167" s="18"/>
      <c r="M167" s="18"/>
      <c r="N167" s="20">
        <f t="shared" si="7"/>
        <v>0</v>
      </c>
      <c r="P167" s="7"/>
    </row>
    <row r="168" spans="1:16" ht="26.25" customHeight="1" x14ac:dyDescent="0.4">
      <c r="A168" s="40"/>
      <c r="B168" s="41" t="s">
        <v>168</v>
      </c>
      <c r="C168" s="42"/>
      <c r="D168" s="42" t="s">
        <v>288</v>
      </c>
      <c r="E168" s="18">
        <v>0</v>
      </c>
      <c r="F168" s="18">
        <v>0</v>
      </c>
      <c r="G168" s="22"/>
      <c r="H168" s="18"/>
      <c r="I168" s="18"/>
      <c r="J168" s="18"/>
      <c r="K168" s="18"/>
      <c r="L168" s="18"/>
      <c r="M168" s="18"/>
      <c r="N168" s="20">
        <f t="shared" si="7"/>
        <v>0</v>
      </c>
      <c r="P168" s="7"/>
    </row>
    <row r="169" spans="1:16" ht="26.25" customHeight="1" x14ac:dyDescent="0.4">
      <c r="A169" s="40"/>
      <c r="B169" s="41" t="s">
        <v>169</v>
      </c>
      <c r="C169" s="42" t="s">
        <v>271</v>
      </c>
      <c r="D169" s="42" t="s">
        <v>288</v>
      </c>
      <c r="E169" s="18">
        <v>0</v>
      </c>
      <c r="F169" s="18">
        <v>0</v>
      </c>
      <c r="G169" s="22"/>
      <c r="H169" s="18"/>
      <c r="I169" s="18"/>
      <c r="J169" s="18"/>
      <c r="K169" s="18"/>
      <c r="L169" s="18"/>
      <c r="M169" s="18"/>
      <c r="N169" s="20">
        <f t="shared" si="7"/>
        <v>0</v>
      </c>
      <c r="P169" s="7"/>
    </row>
    <row r="170" spans="1:16" ht="26.25" customHeight="1" x14ac:dyDescent="0.4">
      <c r="A170" s="40"/>
      <c r="B170" s="41" t="s">
        <v>170</v>
      </c>
      <c r="C170" s="42" t="s">
        <v>272</v>
      </c>
      <c r="D170" s="42" t="s">
        <v>288</v>
      </c>
      <c r="E170" s="18">
        <v>0</v>
      </c>
      <c r="F170" s="18">
        <v>0</v>
      </c>
      <c r="G170" s="22"/>
      <c r="H170" s="18"/>
      <c r="I170" s="18"/>
      <c r="J170" s="18"/>
      <c r="K170" s="18"/>
      <c r="L170" s="18"/>
      <c r="M170" s="18"/>
      <c r="N170" s="20">
        <f t="shared" si="7"/>
        <v>0</v>
      </c>
      <c r="P170" s="7"/>
    </row>
    <row r="171" spans="1:16" ht="26.25" customHeight="1" x14ac:dyDescent="0.4">
      <c r="A171" s="40"/>
      <c r="B171" s="41" t="s">
        <v>171</v>
      </c>
      <c r="C171" s="42" t="s">
        <v>273</v>
      </c>
      <c r="D171" s="42" t="s">
        <v>288</v>
      </c>
      <c r="E171" s="18">
        <v>0</v>
      </c>
      <c r="F171" s="18">
        <v>18585</v>
      </c>
      <c r="G171" s="22">
        <v>55424</v>
      </c>
      <c r="H171" s="18"/>
      <c r="I171" s="18"/>
      <c r="J171" s="18"/>
      <c r="K171" s="18"/>
      <c r="L171" s="18"/>
      <c r="M171" s="18"/>
      <c r="N171" s="20">
        <f t="shared" si="7"/>
        <v>74009</v>
      </c>
      <c r="P171" s="7"/>
    </row>
    <row r="172" spans="1:16" ht="26.25" customHeight="1" x14ac:dyDescent="0.4">
      <c r="A172" s="40"/>
      <c r="B172" s="41" t="s">
        <v>172</v>
      </c>
      <c r="C172" s="42" t="s">
        <v>274</v>
      </c>
      <c r="D172" s="42" t="s">
        <v>288</v>
      </c>
      <c r="E172" s="18">
        <v>0</v>
      </c>
      <c r="F172" s="18">
        <v>0</v>
      </c>
      <c r="G172" s="22"/>
      <c r="H172" s="18"/>
      <c r="I172" s="18"/>
      <c r="J172" s="18"/>
      <c r="K172" s="18"/>
      <c r="L172" s="18"/>
      <c r="M172" s="18"/>
      <c r="N172" s="20">
        <f t="shared" si="7"/>
        <v>0</v>
      </c>
      <c r="P172" s="7"/>
    </row>
    <row r="173" spans="1:16" ht="26.25" customHeight="1" x14ac:dyDescent="0.4">
      <c r="A173" s="40"/>
      <c r="B173" s="41" t="s">
        <v>173</v>
      </c>
      <c r="C173" s="42" t="s">
        <v>275</v>
      </c>
      <c r="D173" s="42" t="s">
        <v>288</v>
      </c>
      <c r="E173" s="18">
        <v>0</v>
      </c>
      <c r="F173" s="18"/>
      <c r="G173" s="22"/>
      <c r="H173" s="18"/>
      <c r="I173" s="18"/>
      <c r="J173" s="18"/>
      <c r="K173" s="18"/>
      <c r="L173" s="18"/>
      <c r="M173" s="18"/>
      <c r="N173" s="20">
        <f t="shared" si="7"/>
        <v>0</v>
      </c>
      <c r="P173" s="7"/>
    </row>
    <row r="174" spans="1:16" ht="26.25" customHeight="1" x14ac:dyDescent="0.4">
      <c r="A174" s="40"/>
      <c r="B174" s="41" t="s">
        <v>174</v>
      </c>
      <c r="C174" s="42" t="s">
        <v>276</v>
      </c>
      <c r="D174" s="42" t="s">
        <v>288</v>
      </c>
      <c r="E174" s="18"/>
      <c r="F174" s="18">
        <v>0</v>
      </c>
      <c r="G174" s="22"/>
      <c r="H174" s="18"/>
      <c r="I174" s="18"/>
      <c r="J174" s="18"/>
      <c r="K174" s="18"/>
      <c r="L174" s="18"/>
      <c r="M174" s="18"/>
      <c r="N174" s="20">
        <f t="shared" si="7"/>
        <v>0</v>
      </c>
      <c r="P174" s="7"/>
    </row>
    <row r="175" spans="1:16" ht="26.25" customHeight="1" x14ac:dyDescent="0.4">
      <c r="A175" s="40"/>
      <c r="B175" s="41" t="s">
        <v>175</v>
      </c>
      <c r="C175" s="42" t="s">
        <v>194</v>
      </c>
      <c r="D175" s="42" t="s">
        <v>288</v>
      </c>
      <c r="E175" s="18">
        <v>0</v>
      </c>
      <c r="F175" s="18">
        <v>0</v>
      </c>
      <c r="G175" s="22"/>
      <c r="H175" s="18"/>
      <c r="I175" s="18"/>
      <c r="J175" s="18">
        <v>19757.07</v>
      </c>
      <c r="K175" s="18"/>
      <c r="L175" s="18">
        <v>68676</v>
      </c>
      <c r="M175" s="18"/>
      <c r="N175" s="20">
        <f>E175+F175+G175+H175+I175+J175+K175+L175</f>
        <v>88433.07</v>
      </c>
      <c r="P175" s="7"/>
    </row>
    <row r="176" spans="1:16" ht="26.25" customHeight="1" x14ac:dyDescent="0.4">
      <c r="A176" s="40"/>
      <c r="B176" s="41" t="s">
        <v>176</v>
      </c>
      <c r="C176" s="42" t="s">
        <v>277</v>
      </c>
      <c r="D176" s="42" t="s">
        <v>288</v>
      </c>
      <c r="E176" s="18">
        <v>0</v>
      </c>
      <c r="F176" s="18">
        <v>0</v>
      </c>
      <c r="G176" s="22"/>
      <c r="H176" s="18"/>
      <c r="I176" s="18"/>
      <c r="J176" s="18"/>
      <c r="K176" s="18"/>
      <c r="L176" s="18">
        <v>38376</v>
      </c>
      <c r="M176" s="18"/>
      <c r="N176" s="20">
        <f>E176+F176+G176+H176+I176+J176+K176+L176</f>
        <v>38376</v>
      </c>
      <c r="P176" s="7"/>
    </row>
    <row r="177" spans="1:22" ht="26.25" customHeight="1" x14ac:dyDescent="0.4">
      <c r="A177" s="40"/>
      <c r="B177" s="41" t="s">
        <v>177</v>
      </c>
      <c r="C177" s="42" t="s">
        <v>278</v>
      </c>
      <c r="D177" s="42" t="s">
        <v>288</v>
      </c>
      <c r="E177" s="18">
        <v>0</v>
      </c>
      <c r="F177" s="18">
        <v>0</v>
      </c>
      <c r="G177" s="22"/>
      <c r="H177" s="18"/>
      <c r="I177" s="18"/>
      <c r="J177" s="18"/>
      <c r="K177" s="18"/>
      <c r="L177" s="18"/>
      <c r="M177" s="18"/>
      <c r="N177" s="20">
        <f>E177+F177+G177+H177+I177</f>
        <v>0</v>
      </c>
      <c r="P177" s="7"/>
    </row>
    <row r="178" spans="1:22" ht="26.25" customHeight="1" x14ac:dyDescent="0.4">
      <c r="A178" s="40"/>
      <c r="B178" s="41" t="s">
        <v>178</v>
      </c>
      <c r="C178" s="42" t="s">
        <v>279</v>
      </c>
      <c r="D178" s="42" t="s">
        <v>288</v>
      </c>
      <c r="E178" s="18">
        <v>0</v>
      </c>
      <c r="F178" s="18">
        <v>0</v>
      </c>
      <c r="G178" s="22"/>
      <c r="H178" s="18"/>
      <c r="I178" s="18"/>
      <c r="J178" s="18"/>
      <c r="K178" s="18"/>
      <c r="L178" s="18"/>
      <c r="M178" s="18"/>
      <c r="N178" s="20">
        <f>E178+F178+G178+H178+I178</f>
        <v>0</v>
      </c>
      <c r="P178" s="7"/>
    </row>
    <row r="179" spans="1:22" ht="26.25" customHeight="1" x14ac:dyDescent="0.4">
      <c r="A179" s="40"/>
      <c r="B179" s="41" t="s">
        <v>179</v>
      </c>
      <c r="C179" s="42" t="s">
        <v>280</v>
      </c>
      <c r="D179" s="42" t="s">
        <v>288</v>
      </c>
      <c r="E179" s="18">
        <v>0</v>
      </c>
      <c r="F179" s="18">
        <v>0</v>
      </c>
      <c r="G179" s="22"/>
      <c r="H179" s="18"/>
      <c r="I179" s="18"/>
      <c r="J179" s="18"/>
      <c r="K179" s="18"/>
      <c r="L179" s="18">
        <f>(96760+35001.16+70092)</f>
        <v>201853.16</v>
      </c>
      <c r="M179" s="18"/>
      <c r="N179" s="20">
        <f>E179+F179+G179+H179+I179+J179+K179+L179+M179</f>
        <v>201853.16</v>
      </c>
      <c r="P179" s="7"/>
    </row>
    <row r="180" spans="1:22" ht="26.25" customHeight="1" x14ac:dyDescent="0.4">
      <c r="A180" s="40"/>
      <c r="B180" s="41" t="s">
        <v>180</v>
      </c>
      <c r="C180" s="42" t="s">
        <v>281</v>
      </c>
      <c r="D180" s="42" t="s">
        <v>288</v>
      </c>
      <c r="E180" s="18"/>
      <c r="F180" s="18"/>
      <c r="G180" s="22"/>
      <c r="H180" s="18">
        <v>93720</v>
      </c>
      <c r="I180" s="18"/>
      <c r="J180" s="18"/>
      <c r="K180" s="18"/>
      <c r="L180" s="18"/>
      <c r="M180" s="18"/>
      <c r="N180" s="20">
        <f>E180+F180+G180+H180+I180</f>
        <v>93720</v>
      </c>
      <c r="P180" s="7"/>
    </row>
    <row r="181" spans="1:22" ht="26.25" customHeight="1" x14ac:dyDescent="0.4">
      <c r="A181" s="40"/>
      <c r="B181" s="41" t="s">
        <v>181</v>
      </c>
      <c r="C181" s="42" t="s">
        <v>282</v>
      </c>
      <c r="D181" s="42" t="s">
        <v>288</v>
      </c>
      <c r="E181" s="18">
        <v>0</v>
      </c>
      <c r="F181" s="18">
        <v>0</v>
      </c>
      <c r="G181" s="22"/>
      <c r="H181" s="18"/>
      <c r="I181" s="18"/>
      <c r="J181" s="18"/>
      <c r="K181" s="18"/>
      <c r="L181" s="18"/>
      <c r="M181" s="18"/>
      <c r="N181" s="20">
        <f>E181+F181+G181+H181+I181</f>
        <v>0</v>
      </c>
      <c r="P181" s="7"/>
    </row>
    <row r="182" spans="1:22" ht="26.25" customHeight="1" x14ac:dyDescent="0.4">
      <c r="A182" s="40"/>
      <c r="B182" s="41" t="s">
        <v>182</v>
      </c>
      <c r="C182" s="42" t="s">
        <v>283</v>
      </c>
      <c r="D182" s="42" t="s">
        <v>288</v>
      </c>
      <c r="E182" s="18">
        <v>0</v>
      </c>
      <c r="F182" s="18">
        <v>0</v>
      </c>
      <c r="G182" s="22">
        <v>598138</v>
      </c>
      <c r="H182" s="18">
        <f>(157730+202440)</f>
        <v>360170</v>
      </c>
      <c r="I182" s="18">
        <v>59400</v>
      </c>
      <c r="J182" s="18">
        <f>(114914+48852+199475+84904)</f>
        <v>448145</v>
      </c>
      <c r="K182" s="18">
        <f>(60624+129000+189667.5+47613)</f>
        <v>426904.5</v>
      </c>
      <c r="L182" s="18">
        <f>(79800+92930+69916)</f>
        <v>242646</v>
      </c>
      <c r="M182" s="18">
        <f>(107970+153280)</f>
        <v>261250</v>
      </c>
      <c r="N182" s="20">
        <f>E182+F182+G182+H182+I182+J182+K182+L182</f>
        <v>2135403.5</v>
      </c>
      <c r="P182" s="7"/>
    </row>
    <row r="183" spans="1:22" s="54" customFormat="1" ht="26.25" customHeight="1" x14ac:dyDescent="0.4">
      <c r="A183" s="52"/>
      <c r="B183" s="46" t="s">
        <v>183</v>
      </c>
      <c r="C183" s="43" t="s">
        <v>284</v>
      </c>
      <c r="D183" s="43" t="s">
        <v>288</v>
      </c>
      <c r="E183" s="28">
        <v>0</v>
      </c>
      <c r="F183" s="53"/>
      <c r="G183" s="53"/>
      <c r="H183" s="25">
        <f>(60298+321898.1)</f>
        <v>382196.1</v>
      </c>
      <c r="I183" s="28"/>
      <c r="J183" s="25">
        <v>105256</v>
      </c>
      <c r="K183" s="28"/>
      <c r="L183" s="28"/>
      <c r="M183" s="28"/>
      <c r="N183" s="26">
        <f>E183+F183+G183+H183+I183+J183+K183</f>
        <v>487452.1</v>
      </c>
      <c r="P183" s="55"/>
    </row>
    <row r="184" spans="1:22" ht="26.25" customHeight="1" x14ac:dyDescent="0.4">
      <c r="A184" s="40"/>
      <c r="B184" s="41" t="s">
        <v>184</v>
      </c>
      <c r="C184" s="42" t="s">
        <v>285</v>
      </c>
      <c r="D184" s="42" t="s">
        <v>288</v>
      </c>
      <c r="E184" s="18"/>
      <c r="F184" s="29"/>
      <c r="G184" s="22"/>
      <c r="H184" s="18"/>
      <c r="I184" s="18"/>
      <c r="J184" s="18">
        <v>41600</v>
      </c>
      <c r="K184" s="18"/>
      <c r="L184" s="18"/>
      <c r="M184" s="18"/>
      <c r="N184" s="20">
        <f>E184+F184+G184+H184+I184+J184+K184+L184</f>
        <v>41600</v>
      </c>
      <c r="P184" s="7"/>
    </row>
    <row r="185" spans="1:22" ht="29.25" customHeight="1" x14ac:dyDescent="0.4">
      <c r="A185" s="40"/>
      <c r="B185" s="41" t="s">
        <v>302</v>
      </c>
      <c r="C185" s="42" t="s">
        <v>303</v>
      </c>
      <c r="D185" s="42" t="s">
        <v>289</v>
      </c>
      <c r="E185" s="18"/>
      <c r="F185" s="29"/>
      <c r="G185" s="22"/>
      <c r="H185" s="18"/>
      <c r="I185" s="18"/>
      <c r="J185" s="18"/>
      <c r="K185" s="18"/>
      <c r="L185" s="18">
        <v>159418</v>
      </c>
      <c r="M185" s="18"/>
      <c r="N185" s="20">
        <f>(J185+K185+L185)</f>
        <v>159418</v>
      </c>
      <c r="P185" s="7"/>
    </row>
    <row r="186" spans="1:22" ht="36" customHeight="1" x14ac:dyDescent="0.4">
      <c r="A186" s="40"/>
      <c r="B186" s="41" t="s">
        <v>291</v>
      </c>
      <c r="C186" s="42" t="s">
        <v>293</v>
      </c>
      <c r="D186" s="42" t="s">
        <v>288</v>
      </c>
      <c r="E186" s="18"/>
      <c r="F186" s="29"/>
      <c r="G186" s="22"/>
      <c r="H186" s="18"/>
      <c r="I186" s="18"/>
      <c r="J186" s="18"/>
      <c r="K186" s="18">
        <f>(20800+20800)</f>
        <v>41600</v>
      </c>
      <c r="L186" s="18">
        <v>20800</v>
      </c>
      <c r="M186" s="18">
        <v>20800</v>
      </c>
      <c r="N186" s="20">
        <f>E186+F186+G186+H186+I186+J186+K186+L186</f>
        <v>62400</v>
      </c>
      <c r="P186" s="7"/>
    </row>
    <row r="187" spans="1:22" ht="35.25" customHeight="1" x14ac:dyDescent="0.4">
      <c r="A187" s="40">
        <v>22</v>
      </c>
      <c r="B187" s="41" t="s">
        <v>185</v>
      </c>
      <c r="C187" s="42" t="s">
        <v>194</v>
      </c>
      <c r="D187" s="42" t="s">
        <v>288</v>
      </c>
      <c r="E187" s="18"/>
      <c r="F187" s="29"/>
      <c r="G187" s="22">
        <v>18000</v>
      </c>
      <c r="H187" s="18"/>
      <c r="I187" s="18"/>
      <c r="J187" s="18">
        <v>97500</v>
      </c>
      <c r="K187" s="18">
        <v>85000</v>
      </c>
      <c r="L187" s="18"/>
      <c r="M187" s="18"/>
      <c r="N187" s="20">
        <f>E187+F187+G187+H187+I187+J187+K187+L187+M187</f>
        <v>200500</v>
      </c>
      <c r="P187" s="7"/>
    </row>
    <row r="188" spans="1:22" ht="26.25" customHeight="1" x14ac:dyDescent="0.4">
      <c r="A188" s="40">
        <v>23</v>
      </c>
      <c r="B188" s="41" t="s">
        <v>186</v>
      </c>
      <c r="C188" s="42" t="s">
        <v>286</v>
      </c>
      <c r="D188" s="42" t="s">
        <v>289</v>
      </c>
      <c r="E188" s="18"/>
      <c r="F188" s="29"/>
      <c r="G188" s="22"/>
      <c r="H188" s="18">
        <v>152072.44</v>
      </c>
      <c r="I188" s="18"/>
      <c r="J188" s="18"/>
      <c r="K188" s="18"/>
      <c r="L188" s="18"/>
      <c r="M188" s="18"/>
      <c r="N188" s="20">
        <f t="shared" ref="N188:N190" si="8">E188+F188+G188+H188+I188+J188+K188+L188+M188</f>
        <v>152072.44</v>
      </c>
      <c r="P188" s="7"/>
    </row>
    <row r="189" spans="1:22" ht="26.25" customHeight="1" x14ac:dyDescent="0.4">
      <c r="A189" s="40"/>
      <c r="B189" s="41" t="s">
        <v>310</v>
      </c>
      <c r="C189" s="42" t="s">
        <v>311</v>
      </c>
      <c r="D189" s="42" t="s">
        <v>289</v>
      </c>
      <c r="E189" s="18"/>
      <c r="F189" s="29"/>
      <c r="G189" s="22"/>
      <c r="H189" s="18"/>
      <c r="I189" s="18"/>
      <c r="J189" s="18"/>
      <c r="K189" s="18"/>
      <c r="L189" s="18">
        <v>40000</v>
      </c>
      <c r="M189" s="18"/>
      <c r="N189" s="20">
        <f t="shared" si="8"/>
        <v>40000</v>
      </c>
      <c r="P189" s="7"/>
    </row>
    <row r="190" spans="1:22" ht="26.25" customHeight="1" x14ac:dyDescent="0.4">
      <c r="A190" s="40">
        <v>24</v>
      </c>
      <c r="B190" s="41" t="s">
        <v>307</v>
      </c>
      <c r="C190" s="47" t="s">
        <v>308</v>
      </c>
      <c r="D190" s="42" t="s">
        <v>289</v>
      </c>
      <c r="E190" s="18"/>
      <c r="F190" s="29"/>
      <c r="G190" s="22"/>
      <c r="H190" s="18"/>
      <c r="I190" s="18"/>
      <c r="J190" s="18"/>
      <c r="K190" s="18"/>
      <c r="L190" s="18"/>
      <c r="M190" s="18">
        <v>15000</v>
      </c>
      <c r="N190" s="20">
        <f t="shared" si="8"/>
        <v>15000</v>
      </c>
      <c r="P190" s="7"/>
    </row>
    <row r="191" spans="1:22" ht="22.5" customHeight="1" x14ac:dyDescent="0.4">
      <c r="A191" s="40">
        <v>25</v>
      </c>
      <c r="B191" s="41" t="s">
        <v>187</v>
      </c>
      <c r="C191" s="42" t="s">
        <v>287</v>
      </c>
      <c r="D191" s="42" t="s">
        <v>289</v>
      </c>
      <c r="E191" s="18"/>
      <c r="F191" s="29"/>
      <c r="G191" s="22"/>
      <c r="H191" s="18"/>
      <c r="I191" s="18"/>
      <c r="J191" s="18"/>
      <c r="K191" s="18"/>
      <c r="L191" s="18"/>
      <c r="M191" s="18"/>
      <c r="N191" s="20">
        <f>E191+F191+G191+H191+I191+J191+K191+L191+M191</f>
        <v>0</v>
      </c>
      <c r="P191" s="7"/>
    </row>
    <row r="192" spans="1:22" ht="22.5" customHeight="1" x14ac:dyDescent="0.4">
      <c r="A192" s="40">
        <v>26</v>
      </c>
      <c r="B192" s="41" t="s">
        <v>298</v>
      </c>
      <c r="C192" s="48" t="s">
        <v>299</v>
      </c>
      <c r="D192" s="42" t="s">
        <v>289</v>
      </c>
      <c r="E192" s="18"/>
      <c r="F192" s="30"/>
      <c r="G192" s="31"/>
      <c r="H192" s="32"/>
      <c r="I192" s="32"/>
      <c r="J192" s="32"/>
      <c r="K192" s="32"/>
      <c r="L192" s="32">
        <v>21530</v>
      </c>
      <c r="M192" s="32"/>
      <c r="N192" s="20">
        <f>E192+F192+G192+H192+I192+J192+K192+L192</f>
        <v>21530</v>
      </c>
      <c r="P192" s="7"/>
      <c r="V192">
        <v>21530</v>
      </c>
    </row>
    <row r="193" spans="1:16" ht="29.25" customHeight="1" x14ac:dyDescent="0.4">
      <c r="A193" s="40">
        <v>27</v>
      </c>
      <c r="B193" s="49" t="s">
        <v>296</v>
      </c>
      <c r="C193" s="48" t="s">
        <v>297</v>
      </c>
      <c r="D193" s="42" t="s">
        <v>289</v>
      </c>
      <c r="E193" s="33"/>
      <c r="F193" s="31"/>
      <c r="G193" s="31">
        <v>135700</v>
      </c>
      <c r="H193" s="31"/>
      <c r="I193" s="31"/>
      <c r="J193" s="31"/>
      <c r="K193" s="31"/>
      <c r="L193" s="31"/>
      <c r="M193" s="31"/>
      <c r="N193" s="20">
        <f>E193+F193+G193+H193+I193+J193+K193</f>
        <v>135700</v>
      </c>
      <c r="P193" s="7"/>
    </row>
    <row r="194" spans="1:16" ht="28.5" customHeight="1" x14ac:dyDescent="0.4">
      <c r="A194" s="40"/>
      <c r="B194" s="50"/>
      <c r="C194" s="51"/>
      <c r="D194" s="43"/>
      <c r="E194" s="33"/>
      <c r="F194" s="31"/>
      <c r="G194" s="31"/>
      <c r="H194" s="31"/>
      <c r="I194" s="31"/>
      <c r="J194" s="31"/>
      <c r="K194" s="31"/>
      <c r="L194" s="31"/>
      <c r="M194" s="31"/>
      <c r="N194" s="26">
        <f>E194+F194+G194+H194+I194</f>
        <v>0</v>
      </c>
      <c r="P194" s="7"/>
    </row>
    <row r="195" spans="1:16" ht="26.25" x14ac:dyDescent="0.4">
      <c r="A195" s="60" t="s">
        <v>7</v>
      </c>
      <c r="B195" s="61"/>
      <c r="C195" s="61"/>
      <c r="D195" s="61"/>
      <c r="E195" s="34">
        <f t="shared" ref="E195:M195" si="9">SUM(E7:E194)</f>
        <v>21056787.140000001</v>
      </c>
      <c r="F195" s="35">
        <f t="shared" si="9"/>
        <v>536021.14</v>
      </c>
      <c r="G195" s="36">
        <f t="shared" si="9"/>
        <v>3634672.27</v>
      </c>
      <c r="H195" s="37">
        <f t="shared" si="9"/>
        <v>2467207.0099999998</v>
      </c>
      <c r="I195" s="37">
        <f t="shared" si="9"/>
        <v>839173.20000000007</v>
      </c>
      <c r="J195" s="37">
        <f t="shared" si="9"/>
        <v>2863933.46</v>
      </c>
      <c r="K195" s="37">
        <f t="shared" si="9"/>
        <v>4788516.8499999996</v>
      </c>
      <c r="L195" s="37">
        <f>SUM(L7:L194)</f>
        <v>6572672.3399999999</v>
      </c>
      <c r="M195" s="37">
        <f t="shared" si="9"/>
        <v>2879894.21</v>
      </c>
      <c r="N195" s="38">
        <f>(E195+F195+G195+H195+I195+J195+K195+L195+M195)</f>
        <v>45638877.619999997</v>
      </c>
    </row>
    <row r="196" spans="1:16" x14ac:dyDescent="0.25">
      <c r="N196" s="17"/>
    </row>
    <row r="197" spans="1:16" ht="28.5" x14ac:dyDescent="0.45">
      <c r="A197" s="6"/>
      <c r="B197" s="7"/>
    </row>
    <row r="199" spans="1:16" ht="21" x14ac:dyDescent="0.35">
      <c r="B199" s="13"/>
      <c r="C199" s="59"/>
      <c r="D199" s="59"/>
      <c r="F199" t="s">
        <v>295</v>
      </c>
      <c r="G199" s="12"/>
    </row>
    <row r="200" spans="1:16" ht="21" x14ac:dyDescent="0.35">
      <c r="A200" s="12"/>
      <c r="B200" s="12"/>
      <c r="C200" s="12"/>
      <c r="D200" s="12"/>
      <c r="E200" s="12"/>
      <c r="F200" s="12"/>
      <c r="G200" s="12"/>
      <c r="H200" s="12"/>
    </row>
    <row r="201" spans="1:16" ht="21" x14ac:dyDescent="0.35">
      <c r="A201" s="12"/>
      <c r="B201" s="16"/>
      <c r="C201" s="58"/>
      <c r="D201" s="58"/>
      <c r="E201" s="12" t="s">
        <v>294</v>
      </c>
      <c r="F201" s="12" t="s">
        <v>315</v>
      </c>
      <c r="G201" s="59"/>
      <c r="H201" s="59"/>
      <c r="I201" s="59"/>
      <c r="J201" s="59"/>
    </row>
    <row r="202" spans="1:16" ht="3" customHeight="1" x14ac:dyDescent="0.25">
      <c r="A202" s="62"/>
      <c r="B202" s="62"/>
      <c r="C202" s="62"/>
      <c r="D202" s="62"/>
      <c r="E202" s="62"/>
      <c r="F202" s="62"/>
      <c r="G202" s="62"/>
      <c r="H202" s="62"/>
      <c r="I202" s="8"/>
      <c r="J202" s="8"/>
      <c r="K202" s="8"/>
      <c r="L202" s="8"/>
      <c r="M202" s="8"/>
    </row>
    <row r="203" spans="1:16" ht="13.5" customHeight="1" x14ac:dyDescent="0.25">
      <c r="A203" s="62"/>
      <c r="B203" s="62"/>
      <c r="C203" s="62"/>
      <c r="D203" s="62"/>
      <c r="E203" s="62"/>
      <c r="F203" s="62"/>
      <c r="G203" s="62"/>
      <c r="H203" s="62"/>
      <c r="I203" s="8"/>
      <c r="J203" s="8"/>
      <c r="K203" s="8"/>
      <c r="L203" s="8"/>
      <c r="M203" s="8"/>
    </row>
    <row r="204" spans="1:16" ht="21.75" customHeight="1" x14ac:dyDescent="0.35">
      <c r="A204" s="14"/>
      <c r="B204" s="15"/>
      <c r="C204" s="63"/>
      <c r="D204" s="63"/>
      <c r="E204" s="64"/>
      <c r="F204" s="64"/>
      <c r="G204" s="64"/>
      <c r="H204" s="64"/>
      <c r="I204" s="1"/>
      <c r="J204" s="1"/>
      <c r="K204" s="1"/>
      <c r="L204" s="1"/>
      <c r="M204" s="1"/>
    </row>
    <row r="205" spans="1:16" ht="21" x14ac:dyDescent="0.35">
      <c r="A205" s="14"/>
      <c r="B205" s="16"/>
      <c r="C205" s="58"/>
      <c r="D205" s="58"/>
      <c r="E205" s="59"/>
      <c r="F205" s="59"/>
      <c r="G205" s="59"/>
      <c r="H205" s="59"/>
      <c r="I205" s="9"/>
      <c r="J205" s="9"/>
      <c r="K205" s="9"/>
      <c r="L205" s="9"/>
      <c r="M205" s="9"/>
    </row>
    <row r="207" spans="1:16" x14ac:dyDescent="0.25">
      <c r="B207" t="s">
        <v>294</v>
      </c>
    </row>
  </sheetData>
  <mergeCells count="9">
    <mergeCell ref="C205:D205"/>
    <mergeCell ref="E205:H205"/>
    <mergeCell ref="A195:D195"/>
    <mergeCell ref="C201:D201"/>
    <mergeCell ref="A202:H203"/>
    <mergeCell ref="C204:D204"/>
    <mergeCell ref="E204:H204"/>
    <mergeCell ref="C199:D199"/>
    <mergeCell ref="G201:J201"/>
  </mergeCells>
  <pageMargins left="0.70866141732283472" right="0.70866141732283472" top="0.74803149606299213" bottom="0.74803149606299213" header="0.31496062992125984" footer="0.31496062992125984"/>
  <pageSetup scale="21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Ruth Esther Patricio Agramonte</cp:lastModifiedBy>
  <cp:lastPrinted>2023-07-06T17:22:00Z</cp:lastPrinted>
  <dcterms:created xsi:type="dcterms:W3CDTF">2021-03-11T12:14:44Z</dcterms:created>
  <dcterms:modified xsi:type="dcterms:W3CDTF">2023-07-06T17:42:10Z</dcterms:modified>
</cp:coreProperties>
</file>