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3\EXCEL\"/>
    </mc:Choice>
  </mc:AlternateContent>
  <bookViews>
    <workbookView xWindow="0" yWindow="0" windowWidth="19200" windowHeight="11595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6" i="1" l="1"/>
  <c r="K36" i="1" l="1"/>
  <c r="J37" i="1"/>
  <c r="J131" i="1"/>
  <c r="J139" i="1"/>
  <c r="J38" i="1"/>
  <c r="J80" i="1"/>
  <c r="J104" i="1"/>
  <c r="J143" i="1"/>
  <c r="K143" i="1" s="1"/>
  <c r="J58" i="1"/>
  <c r="J181" i="1"/>
  <c r="J112" i="1"/>
  <c r="J106" i="1"/>
  <c r="K19" i="1" l="1"/>
  <c r="J56" i="1"/>
  <c r="K8" i="1"/>
  <c r="K38" i="1"/>
  <c r="F11" i="1" l="1"/>
  <c r="I22" i="1" l="1"/>
  <c r="J187" i="1" l="1"/>
  <c r="K22" i="1"/>
  <c r="I105" i="1"/>
  <c r="I58" i="1"/>
  <c r="I80" i="1" l="1"/>
  <c r="F56" i="1" l="1"/>
  <c r="I111" i="1" l="1"/>
  <c r="I91" i="1"/>
  <c r="I23" i="1"/>
  <c r="I185" i="1"/>
  <c r="I112" i="1"/>
  <c r="I44" i="1"/>
  <c r="K44" i="1" s="1"/>
  <c r="I131" i="1"/>
  <c r="I118" i="1"/>
  <c r="I104" i="1"/>
  <c r="K104" i="1" s="1"/>
  <c r="I181" i="1"/>
  <c r="I41" i="1"/>
  <c r="G181" i="1" l="1"/>
  <c r="F121" i="1"/>
  <c r="F162" i="1" l="1"/>
  <c r="G118" i="1"/>
  <c r="H106" i="1" l="1"/>
  <c r="K106" i="1" s="1"/>
  <c r="I14" i="1" l="1"/>
  <c r="K14" i="1" s="1"/>
  <c r="K159" i="1"/>
  <c r="K75" i="1" l="1"/>
  <c r="I162" i="1"/>
  <c r="I56" i="1"/>
  <c r="I139" i="1"/>
  <c r="I37" i="1"/>
  <c r="K39" i="1"/>
  <c r="H37" i="1"/>
  <c r="K37" i="1" s="1"/>
  <c r="H105" i="1"/>
  <c r="G162" i="1" l="1"/>
  <c r="H16" i="1" l="1"/>
  <c r="K16" i="1" s="1"/>
  <c r="H12" i="1"/>
  <c r="G12" i="1"/>
  <c r="K41" i="1" l="1"/>
  <c r="I187" i="1" l="1"/>
  <c r="K9" i="1"/>
  <c r="K11" i="1"/>
  <c r="K13" i="1"/>
  <c r="K15" i="1"/>
  <c r="K17" i="1"/>
  <c r="K18" i="1"/>
  <c r="K20" i="1"/>
  <c r="K21" i="1"/>
  <c r="K23" i="1"/>
  <c r="K24" i="1"/>
  <c r="K25" i="1"/>
  <c r="K27" i="1"/>
  <c r="K28" i="1"/>
  <c r="K29" i="1"/>
  <c r="K30" i="1"/>
  <c r="K31" i="1"/>
  <c r="K32" i="1"/>
  <c r="K33" i="1"/>
  <c r="K34" i="1"/>
  <c r="K35" i="1"/>
  <c r="K40" i="1"/>
  <c r="K42" i="1"/>
  <c r="K43" i="1"/>
  <c r="K45" i="1"/>
  <c r="K46" i="1"/>
  <c r="K47" i="1"/>
  <c r="K49" i="1"/>
  <c r="K50" i="1"/>
  <c r="K51" i="1"/>
  <c r="K52" i="1"/>
  <c r="K53" i="1"/>
  <c r="K55" i="1"/>
  <c r="K57" i="1"/>
  <c r="K59" i="1"/>
  <c r="K60" i="1"/>
  <c r="K61" i="1"/>
  <c r="K62" i="1"/>
  <c r="K63" i="1"/>
  <c r="K64" i="1"/>
  <c r="K65" i="1"/>
  <c r="K67" i="1"/>
  <c r="K68" i="1"/>
  <c r="K69" i="1"/>
  <c r="K70" i="1"/>
  <c r="K71" i="1"/>
  <c r="K72" i="1"/>
  <c r="K73" i="1"/>
  <c r="K74" i="1"/>
  <c r="K76" i="1"/>
  <c r="K79" i="1"/>
  <c r="K81" i="1"/>
  <c r="K82" i="1"/>
  <c r="K83" i="1"/>
  <c r="K84" i="1"/>
  <c r="K85" i="1"/>
  <c r="K86" i="1"/>
  <c r="K87" i="1"/>
  <c r="K88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7" i="1"/>
  <c r="K108" i="1"/>
  <c r="K109" i="1"/>
  <c r="K113" i="1"/>
  <c r="K114" i="1"/>
  <c r="K115" i="1"/>
  <c r="K116" i="1"/>
  <c r="K117" i="1"/>
  <c r="K119" i="1"/>
  <c r="K120" i="1"/>
  <c r="K121" i="1"/>
  <c r="K122" i="1"/>
  <c r="K123" i="1"/>
  <c r="K124" i="1"/>
  <c r="K125" i="1"/>
  <c r="K127" i="1"/>
  <c r="K128" i="1"/>
  <c r="K129" i="1"/>
  <c r="K130" i="1"/>
  <c r="K132" i="1"/>
  <c r="K133" i="1"/>
  <c r="K135" i="1"/>
  <c r="K136" i="1"/>
  <c r="K138" i="1"/>
  <c r="K140" i="1"/>
  <c r="K141" i="1"/>
  <c r="K142" i="1"/>
  <c r="K144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60" i="1"/>
  <c r="K161" i="1"/>
  <c r="K163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2" i="1"/>
  <c r="K183" i="1"/>
  <c r="K184" i="1"/>
  <c r="K185" i="1"/>
  <c r="K186" i="1"/>
  <c r="H126" i="1" l="1"/>
  <c r="K126" i="1" s="1"/>
  <c r="F89" i="1" l="1"/>
  <c r="K89" i="1" s="1"/>
  <c r="H111" i="1" l="1"/>
  <c r="K111" i="1" s="1"/>
  <c r="H139" i="1"/>
  <c r="D26" i="1"/>
  <c r="K26" i="1" s="1"/>
  <c r="H80" i="1" l="1"/>
  <c r="H112" i="1"/>
  <c r="K48" i="1" l="1"/>
  <c r="K137" i="1"/>
  <c r="H58" i="1"/>
  <c r="K110" i="1"/>
  <c r="H146" i="1"/>
  <c r="K146" i="1" s="1"/>
  <c r="H66" i="1"/>
  <c r="K66" i="1" s="1"/>
  <c r="G112" i="1"/>
  <c r="K145" i="1"/>
  <c r="G80" i="1"/>
  <c r="K80" i="1" s="1"/>
  <c r="G139" i="1"/>
  <c r="K139" i="1" s="1"/>
  <c r="H181" i="1"/>
  <c r="H162" i="1"/>
  <c r="K105" i="1"/>
  <c r="H56" i="1"/>
  <c r="K56" i="1" s="1"/>
  <c r="G58" i="1"/>
  <c r="K58" i="1" s="1"/>
  <c r="F54" i="1"/>
  <c r="E54" i="1"/>
  <c r="K162" i="1" l="1"/>
  <c r="K54" i="1"/>
  <c r="F131" i="1" l="1"/>
  <c r="G164" i="1" l="1"/>
  <c r="K164" i="1" s="1"/>
  <c r="F12" i="1"/>
  <c r="K12" i="1" s="1"/>
  <c r="G134" i="1" l="1"/>
  <c r="K134" i="1" s="1"/>
  <c r="K118" i="1" l="1"/>
  <c r="K77" i="1"/>
  <c r="F112" i="1" l="1"/>
  <c r="K112" i="1" s="1"/>
  <c r="H187" i="1" l="1"/>
  <c r="F181" i="1" l="1"/>
  <c r="K181" i="1" s="1"/>
  <c r="K78" i="1" l="1"/>
  <c r="K10" i="1" l="1"/>
  <c r="G131" i="1" l="1"/>
  <c r="K131" i="1" s="1"/>
  <c r="D187" i="1" l="1"/>
  <c r="F187" i="1" l="1"/>
  <c r="E187" i="1" l="1"/>
  <c r="G187" i="1" l="1"/>
  <c r="K187" i="1" s="1"/>
</calcChain>
</file>

<file path=xl/sharedStrings.xml><?xml version="1.0" encoding="utf-8"?>
<sst xmlns="http://schemas.openxmlformats.org/spreadsheetml/2006/main" count="365" uniqueCount="290">
  <si>
    <t>MONTO AÑO 2021</t>
  </si>
  <si>
    <t>MONTO AÑOS ANTERIORES</t>
  </si>
  <si>
    <t xml:space="preserve">CONCEPTO DE COMPRA ( BREVE DESCRIPCION ) </t>
  </si>
  <si>
    <t xml:space="preserve">NOMBRES PROVEEDOR  </t>
  </si>
  <si>
    <t>NO</t>
  </si>
  <si>
    <t>SRS:____IV____</t>
  </si>
  <si>
    <t xml:space="preserve">DIRECCION DE FISCALIZACION Y CONTROL </t>
  </si>
  <si>
    <t xml:space="preserve">SERVICIO NACIONAL DE SALUD </t>
  </si>
  <si>
    <t>MONTO ENE-OCT 2022</t>
  </si>
  <si>
    <t>TOTAL DEUDA</t>
  </si>
  <si>
    <t>24 SERVIC DOMINICANA</t>
  </si>
  <si>
    <t>AGRAMONTE AUTO PARTS</t>
  </si>
  <si>
    <t>AGRIPINA RAMIREZ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</si>
  <si>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</si>
  <si>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</si>
  <si>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</si>
  <si>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</si>
  <si>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</si>
  <si>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</si>
  <si>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</si>
  <si>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</si>
  <si>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</si>
  <si>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</si>
  <si>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</si>
  <si>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>BIO -NOVA</t>
  </si>
  <si>
    <t xml:space="preserve">BIO-NUCLEAR </t>
  </si>
  <si>
    <t>BLAXCOR MEDICAL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</si>
  <si>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</si>
  <si>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</si>
  <si>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</si>
  <si>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</si>
  <si>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</si>
  <si>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</si>
  <si>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</si>
  <si>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</si>
  <si>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CRUZ AYALA, SRL</t>
  </si>
  <si>
    <t>CEM CARIBBEAN</t>
  </si>
  <si>
    <t>COMERCIAL WILSON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</si>
  <si>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</si>
  <si>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</si>
  <si>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</si>
  <si>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</si>
  <si>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</si>
  <si>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</si>
  <si>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</si>
  <si>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</si>
  <si>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</si>
  <si>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</si>
  <si>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EDITORA CS, SRL</t>
  </si>
  <si>
    <t>EQUIMECORO</t>
  </si>
  <si>
    <t>ESODIHSA</t>
  </si>
  <si>
    <t>ELECTROSUR</t>
  </si>
  <si>
    <t xml:space="preserve">EPX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</si>
  <si>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</si>
  <si>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</si>
  <si>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</si>
  <si>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</si>
  <si>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</si>
  <si>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</si>
  <si>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</si>
  <si>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</si>
  <si>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</si>
  <si>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</si>
  <si>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</si>
  <si>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</si>
  <si>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</si>
  <si>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GRUPO FILIA</t>
  </si>
  <si>
    <t>GZ HEALTH</t>
  </si>
  <si>
    <t>GAMMA TECH</t>
  </si>
  <si>
    <t>HEMOTEST</t>
  </si>
  <si>
    <t>HIDROMED</t>
  </si>
  <si>
    <t>HEXAPOWER PHARMA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</si>
  <si>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</si>
  <si>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</si>
  <si>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</si>
  <si>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</si>
  <si>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</si>
  <si>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</si>
  <si>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</si>
  <si>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</si>
  <si>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INNOVAMED</t>
  </si>
  <si>
    <t xml:space="preserve">INVERCIONES CABRAL MORA </t>
  </si>
  <si>
    <t>JENRRY SENCION</t>
  </si>
  <si>
    <t>JONATHAN ROSSO MEJIA</t>
  </si>
  <si>
    <t>JOSE REYES INSTALACION</t>
  </si>
  <si>
    <t>JOCACE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</si>
  <si>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</si>
  <si>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</si>
  <si>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</si>
  <si>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</si>
  <si>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</si>
  <si>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</si>
  <si>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</si>
  <si>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</si>
  <si>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</si>
  <si>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</si>
  <si>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</si>
  <si>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</si>
  <si>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</si>
  <si>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</si>
  <si>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</si>
  <si>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</si>
  <si>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</si>
  <si>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</si>
  <si>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</si>
  <si>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</si>
  <si>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</si>
  <si>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</si>
  <si>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</si>
  <si>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</si>
  <si>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</si>
  <si>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</si>
  <si>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</si>
  <si>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</si>
  <si>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</si>
  <si>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</si>
  <si>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</si>
  <si>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</si>
  <si>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</si>
  <si>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PROMEDCA</t>
  </si>
  <si>
    <t>PROQUIA</t>
  </si>
  <si>
    <t>QUINTIN MORILLO</t>
  </si>
  <si>
    <t>R&amp;R MEDIC /CRISTINA ROSARIO</t>
  </si>
  <si>
    <t>RALANSA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</si>
  <si>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</si>
  <si>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</si>
  <si>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</si>
  <si>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</si>
  <si>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</si>
  <si>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</si>
  <si>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</si>
  <si>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</si>
  <si>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</si>
  <si>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</si>
  <si>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</si>
  <si>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</si>
  <si>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</si>
  <si>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</si>
  <si>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</si>
  <si>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</si>
  <si>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</si>
  <si>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</si>
  <si>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</si>
  <si>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</si>
  <si>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</si>
  <si>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</si>
  <si>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</si>
  <si>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</si>
  <si>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</si>
  <si>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</si>
  <si>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</si>
  <si>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</si>
  <si>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</si>
  <si>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</si>
  <si>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</si>
  <si>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</si>
  <si>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</si>
  <si>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</si>
  <si>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TROPIGAS</t>
  </si>
  <si>
    <t>ZOEC CIVIL</t>
  </si>
  <si>
    <t>ESEMUC, SRL</t>
  </si>
  <si>
    <t>GONZMEL</t>
  </si>
  <si>
    <t xml:space="preserve">FORDSTAR </t>
  </si>
  <si>
    <t>DASSA PHARMACEUTICAL ,S.A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</si>
  <si>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</si>
  <si>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</si>
  <si>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</si>
  <si>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</si>
  <si>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</si>
  <si>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</si>
  <si>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</si>
  <si>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</si>
  <si>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</si>
  <si>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</si>
  <si>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</si>
  <si>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</si>
  <si>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</t>
  </si>
  <si>
    <t>REACTIVOS LABORATORIO</t>
  </si>
  <si>
    <t>REACTIVO DE LABORATORIO</t>
  </si>
  <si>
    <t>MEDICAMENTOS</t>
  </si>
  <si>
    <t>PAPEL DE ELECTRO</t>
  </si>
  <si>
    <t>ANESTESICOS</t>
  </si>
  <si>
    <t>PUBLICIDAD</t>
  </si>
  <si>
    <t>ELECTRODOMESTICO</t>
  </si>
  <si>
    <t>REACTIVOS</t>
  </si>
  <si>
    <t>SEP DE LARINGOSCOPIOS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</si>
  <si>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</si>
  <si>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</si>
  <si>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</si>
  <si>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</si>
  <si>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</si>
  <si>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</si>
  <si>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</si>
  <si>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</si>
  <si>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</si>
  <si>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</si>
  <si>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</si>
  <si>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</si>
  <si>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</si>
  <si>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</si>
  <si>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</si>
  <si>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</si>
  <si>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</si>
  <si>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MAT.MEDICO</t>
  </si>
  <si>
    <t>IMPRESORA INDUSTRIAL  MULTIFUNCIONAL</t>
  </si>
  <si>
    <t>SUMINISTRO DE AGUA</t>
  </si>
  <si>
    <t>REPUESTO AMB.</t>
  </si>
  <si>
    <t>MATERIAL DE INFORMATICA</t>
  </si>
  <si>
    <t xml:space="preserve">EQUIPO TECNOLOGICOS </t>
  </si>
  <si>
    <t>REPARACION EQUIPO</t>
  </si>
  <si>
    <t>MANTTO. AIRES ACON.</t>
  </si>
  <si>
    <t>SERVICIO TECNICO</t>
  </si>
  <si>
    <t>SERVICIOS DE INSPECCION DE SALA QUIRURGICAS</t>
  </si>
  <si>
    <t>OXIGENO</t>
  </si>
  <si>
    <t>CARNE DE RES</t>
  </si>
  <si>
    <t>SUMISTRO DE MAT. GASTABLE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</si>
  <si>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</si>
  <si>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</si>
  <si>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</si>
  <si>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</si>
  <si>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</si>
  <si>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</si>
  <si>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</si>
  <si>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</si>
  <si>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</si>
  <si>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VIVERES</t>
  </si>
  <si>
    <t>MANTENIMIENTO DE ASCENSORES</t>
  </si>
  <si>
    <t>SERVICIO DE INFORMATICA</t>
  </si>
  <si>
    <t>PROVISIONES</t>
  </si>
  <si>
    <t>MAT.DE ELEVADORES</t>
  </si>
  <si>
    <t>MANTENIMIENTO EQUIPOS</t>
  </si>
  <si>
    <t>RANURAR Y SOLDAR</t>
  </si>
  <si>
    <t>PLACAS DE RAYOS X</t>
  </si>
  <si>
    <t>MATERIAL MEDICO/MEDICAMENTOS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</si>
  <si>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</si>
  <si>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</si>
  <si>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</si>
  <si>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</si>
  <si>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</si>
  <si>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</si>
  <si>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</si>
  <si>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</si>
  <si>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</si>
  <si>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</si>
  <si>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NEBULIZADOR PULMO AIDE 5650D</t>
  </si>
  <si>
    <t>MEDICAMENTOS /MAT MEDICO QUIRURGICO</t>
  </si>
  <si>
    <t>CAR-M</t>
  </si>
  <si>
    <t>ACTUALIDADES HOMER CENTER</t>
  </si>
  <si>
    <t>COMPRA DE SILLAS</t>
  </si>
  <si>
    <t>TAPICENTRO A&amp;A SRL</t>
  </si>
  <si>
    <t xml:space="preserve">COMPRA DE COLCHON </t>
  </si>
  <si>
    <t>CIRCUIMED</t>
  </si>
  <si>
    <t>GERENFAR,S..R,L.</t>
  </si>
  <si>
    <t>SOLUCIONES ELECTROPOWER ,S.R.L.</t>
  </si>
  <si>
    <t>REHABILITACION DE CIRCUITO ELECTRICO AIRE</t>
  </si>
  <si>
    <t>CANO FOTOGRAFIA</t>
  </si>
  <si>
    <t>SUMINISTRO DE MAT.GASTABLES</t>
  </si>
  <si>
    <t>MASTER-CLEAN</t>
  </si>
  <si>
    <t>SERVIC SALUD</t>
  </si>
  <si>
    <t>IMPRESORA KR,SRL</t>
  </si>
  <si>
    <t>SUMINISTRO DE MAT.PARA FARMACIA</t>
  </si>
  <si>
    <t>JM GUNDIN &amp; ASOCIADOS ,S.R.L.</t>
  </si>
  <si>
    <t xml:space="preserve">EL PIROS PHAMACEUTICA SRL </t>
  </si>
  <si>
    <t>MATERIALES MEDICO</t>
  </si>
  <si>
    <t>CYBERRAN SRL</t>
  </si>
  <si>
    <t>ESTACION DE COMBUSTIBLE MAMBO</t>
  </si>
  <si>
    <t>PAPATERRA MONTOLIO</t>
  </si>
  <si>
    <t>JUÑAÑO</t>
  </si>
  <si>
    <t xml:space="preserve">ALMUERZO </t>
  </si>
  <si>
    <t>COPEM HOSPICLINIC</t>
  </si>
  <si>
    <t>GILBERT JOSE GONZALEZ</t>
  </si>
  <si>
    <t>MANT. DE AIRES</t>
  </si>
  <si>
    <t xml:space="preserve">SUPLIMED    </t>
  </si>
  <si>
    <t>MAT .FERRETERO</t>
  </si>
  <si>
    <t>SUMINISTRO EQUIPO MEDICO</t>
  </si>
  <si>
    <t>HOSPILAB, SRL</t>
  </si>
  <si>
    <t xml:space="preserve">MICROSCOCOPIO DIGITAL </t>
  </si>
  <si>
    <t>INVERCIONES PALAU ,S.A,</t>
  </si>
  <si>
    <t>SERVICIO ARQUILER DE SONIDO</t>
  </si>
  <si>
    <t>DELICIAS</t>
  </si>
  <si>
    <t xml:space="preserve">SERVICIOS DE BUFFET PARA 50 PERSONAS </t>
  </si>
  <si>
    <t>BUFFET</t>
  </si>
  <si>
    <t>COLEGIO MEDICO DOMINICANO</t>
  </si>
  <si>
    <t>ALQUILER DE SALON PARA CENA</t>
  </si>
  <si>
    <t>GASES DEL SUR</t>
  </si>
  <si>
    <t>TELELITE</t>
  </si>
  <si>
    <t>COMPRA DE IMPRESORA</t>
  </si>
  <si>
    <r>
      <t xml:space="preserve">   ESTABLECIMIENTO:_</t>
    </r>
    <r>
      <rPr>
        <b/>
        <u/>
        <sz val="14"/>
        <color theme="1"/>
        <rFont val="Calibri"/>
        <family val="2"/>
        <scheme val="minor"/>
      </rPr>
      <t>HOSPITAL REGIONAL TAIWAN 19 DE MARZO</t>
    </r>
    <r>
      <rPr>
        <sz val="14"/>
        <color theme="1"/>
        <rFont val="Calibri"/>
        <family val="2"/>
        <scheme val="minor"/>
      </rPr>
      <t>_________________________________________________________________________</t>
    </r>
  </si>
  <si>
    <r>
      <t xml:space="preserve">MES REPORTADO: </t>
    </r>
    <r>
      <rPr>
        <b/>
        <sz val="14"/>
        <color theme="1"/>
        <rFont val="Calibri"/>
        <family val="2"/>
        <scheme val="minor"/>
      </rPr>
      <t>FEBRERO</t>
    </r>
    <r>
      <rPr>
        <b/>
        <u/>
        <sz val="14"/>
        <color theme="1"/>
        <rFont val="Calibri"/>
        <family val="2"/>
        <scheme val="minor"/>
      </rPr>
      <t xml:space="preserve"> 2023</t>
    </r>
  </si>
  <si>
    <t>COMPROMISO DE DEUDAS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</si>
</sst>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 Light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5" xfId="0" applyFont="1" applyBorder="1"/>
    <xf numFmtId="0" fontId="4" fillId="3" borderId="1" xfId="0" applyFont="1" applyFill="1" applyBorder="1" applyAlignment="1">
      <alignment horizontal="center" wrapText="1"/>
    </xf>
    <xf numFmtId="17" fontId="4" fillId="3" borderId="1" xfId="0" applyNumberFormat="1" applyFont="1" applyFill="1" applyBorder="1" applyAlignment="1">
      <alignment horizontal="center" wrapText="1"/>
    </xf>
    <xf numFmtId="43" fontId="6" fillId="0" borderId="0" xfId="2" applyFont="1" applyFill="1"/>
    <xf numFmtId="164" fontId="6" fillId="0" borderId="0" xfId="0" applyNumberFormat="1" applyFont="1"/>
    <xf numFmtId="0" fontId="11" fillId="0" borderId="1" xfId="0" applyFont="1" applyBorder="1"/>
    <xf numFmtId="0" fontId="12" fillId="0" borderId="1" xfId="0" applyFont="1" applyBorder="1"/>
    <xf numFmtId="4" fontId="12" fillId="0" borderId="1" xfId="0" applyNumberFormat="1" applyFont="1" applyBorder="1" applyAlignment="1">
      <alignment horizontal="center"/>
    </xf>
    <xf numFmtId="164" fontId="11" fillId="0" borderId="1" xfId="1" applyFont="1" applyFill="1" applyBorder="1" applyAlignment="1">
      <alignment horizontal="center"/>
    </xf>
    <xf numFmtId="164" fontId="13" fillId="2" borderId="1" xfId="1" applyFont="1" applyFill="1" applyBorder="1" applyAlignment="1">
      <alignment horizontal="center"/>
    </xf>
    <xf numFmtId="164" fontId="13" fillId="2" borderId="2" xfId="0" applyNumberFormat="1" applyFont="1" applyFill="1" applyBorder="1"/>
    <xf numFmtId="164" fontId="13" fillId="2" borderId="2" xfId="0" applyNumberFormat="1" applyFont="1" applyFill="1" applyBorder="1" applyAlignment="1">
      <alignment horizontal="right"/>
    </xf>
    <xf numFmtId="164" fontId="10" fillId="2" borderId="1" xfId="1" applyFont="1" applyFill="1" applyBorder="1" applyAlignment="1">
      <alignment horizontal="right"/>
    </xf>
    <xf numFmtId="164" fontId="11" fillId="0" borderId="1" xfId="1" applyFont="1" applyFill="1" applyBorder="1" applyAlignment="1">
      <alignment horizontal="right"/>
    </xf>
    <xf numFmtId="43" fontId="11" fillId="0" borderId="1" xfId="2" applyFont="1" applyFill="1" applyBorder="1" applyAlignment="1">
      <alignment horizontal="center"/>
    </xf>
    <xf numFmtId="164" fontId="13" fillId="0" borderId="1" xfId="1" applyFont="1" applyFill="1" applyBorder="1" applyAlignment="1">
      <alignment horizontal="center"/>
    </xf>
    <xf numFmtId="4" fontId="6" fillId="0" borderId="0" xfId="0" applyNumberFormat="1" applyFont="1"/>
    <xf numFmtId="0" fontId="11" fillId="0" borderId="1" xfId="0" applyFont="1" applyBorder="1" applyAlignment="1">
      <alignment wrapText="1"/>
    </xf>
    <xf numFmtId="3" fontId="6" fillId="0" borderId="0" xfId="0" applyNumberFormat="1" applyFont="1"/>
    <xf numFmtId="43" fontId="14" fillId="0" borderId="1" xfId="2" applyFont="1" applyFill="1" applyBorder="1" applyAlignment="1">
      <alignment horizontal="center" vertical="center" wrapText="1"/>
    </xf>
    <xf numFmtId="4" fontId="12" fillId="0" borderId="1" xfId="0" applyNumberFormat="1" applyFont="1" applyBorder="1"/>
    <xf numFmtId="43" fontId="6" fillId="0" borderId="0" xfId="0" applyNumberFormat="1" applyFont="1"/>
    <xf numFmtId="164" fontId="11" fillId="4" borderId="1" xfId="1" applyFont="1" applyFill="1" applyBorder="1" applyAlignment="1">
      <alignment horizontal="center"/>
    </xf>
    <xf numFmtId="0" fontId="5" fillId="0" borderId="0" xfId="0" applyFont="1" applyBorder="1"/>
    <xf numFmtId="164" fontId="5" fillId="0" borderId="0" xfId="0" applyNumberFormat="1" applyFont="1" applyBorder="1"/>
    <xf numFmtId="0" fontId="0" fillId="0" borderId="0" xfId="0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1347876</xdr:colOff>
      <xdr:row>188</xdr:row>
      <xdr:rowOff>233632</xdr:rowOff>
    </xdr:from>
    <xdr:to>
      <xdr:col>6</xdr:col>
      <xdr:colOff>944016</xdr:colOff>
      <xdr:row>203</xdr:row>
      <xdr:rowOff>116276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38867" y="36895896"/>
          <a:ext cx="4125007" cy="31355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7"/>
  <sheetViews>
    <sheetView tabSelected="1" topLeftCell="A139" zoomScale="53" zoomScaleNormal="53" workbookViewId="0">
      <selection activeCell="A4" sqref="A4"/>
    </sheetView>
  </sheetViews>
  <sheetFormatPr baseColWidth="10" defaultColWidth="11.42578125" defaultRowHeight="15" x14ac:dyDescent="0.25"/>
  <cols>
    <col min="1" max="1" width="5.7109375" customWidth="1"/>
    <col min="2" max="2" width="47.7109375" customWidth="1"/>
    <col min="3" max="3" width="51.42578125" customWidth="1"/>
    <col min="4" max="4" width="23.140625" customWidth="1"/>
    <col min="5" max="5" width="20.140625" customWidth="1"/>
    <col min="6" max="6" width="24.5703125" customWidth="1"/>
    <col min="7" max="10" width="21" customWidth="1"/>
    <col min="11" max="11" width="29.5703125" customWidth="1"/>
    <col min="12" max="12" width="14.140625" bestFit="1" customWidth="1"/>
    <col min="13" max="13" width="15" customWidth="1"/>
  </cols>
  <sheetData>
    <row r="1" spans="1:13" s="8" customFormat="1" ht="18.75" x14ac:dyDescent="0.3">
      <c r="A1" s="12" t="s">
        <v>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3" s="8" customFormat="1" ht="18.75" x14ac:dyDescent="0.3">
      <c r="A2" s="13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s="8" customFormat="1" ht="18.75" x14ac:dyDescent="0.3">
      <c r="A3" s="13" t="s">
        <v>289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3" s="8" customFormat="1" ht="18.75" x14ac:dyDescent="0.3"/>
    <row r="5" spans="1:13" s="8" customFormat="1" ht="18.75" x14ac:dyDescent="0.3">
      <c r="A5" s="8" t="s">
        <v>287</v>
      </c>
      <c r="E5" s="8" t="s">
        <v>5</v>
      </c>
      <c r="F5" s="8" t="s">
        <v>288</v>
      </c>
    </row>
    <row r="6" spans="1:13" s="8" customFormat="1" ht="27" customHeight="1" x14ac:dyDescent="0.3">
      <c r="B6" s="14"/>
    </row>
    <row r="7" spans="1:13" s="8" customFormat="1" ht="37.5" x14ac:dyDescent="0.3">
      <c r="A7" s="15" t="s">
        <v>4</v>
      </c>
      <c r="B7" s="15" t="s">
        <v>3</v>
      </c>
      <c r="C7" s="15" t="s">
        <v>2</v>
      </c>
      <c r="D7" s="15" t="s">
        <v>1</v>
      </c>
      <c r="E7" s="15" t="s">
        <v>0</v>
      </c>
      <c r="F7" s="15" t="s">
        <v>8</v>
      </c>
      <c r="G7" s="16">
        <v>44866</v>
      </c>
      <c r="H7" s="16">
        <v>44896</v>
      </c>
      <c r="I7" s="16">
        <v>44927</v>
      </c>
      <c r="J7" s="16">
        <v>44958</v>
      </c>
      <c r="K7" s="15" t="s">
        <v>9</v>
      </c>
    </row>
    <row r="8" spans="1:13" s="8" customFormat="1" ht="18.75" x14ac:dyDescent="0.3">
      <c r="A8" s="19">
        <v>1</v>
      </c>
      <c r="B8" s="20" t="s">
        <v>10</v>
      </c>
      <c r="C8" s="19" t="s">
        <v>164</v>
      </c>
      <c r="D8" s="22">
        <v>0</v>
      </c>
      <c r="E8" s="22"/>
      <c r="F8" s="22">
        <v>48380</v>
      </c>
      <c r="G8" s="22">
        <v>48380</v>
      </c>
      <c r="H8" s="22">
        <v>48380</v>
      </c>
      <c r="I8" s="22">
        <v>48380</v>
      </c>
      <c r="J8" s="22"/>
      <c r="K8" s="27">
        <f>(D8+E8+F8+G8+H8+I8+J8)</f>
        <v>193520</v>
      </c>
      <c r="M8" s="17"/>
    </row>
    <row r="9" spans="1:13" s="8" customFormat="1" ht="18.75" x14ac:dyDescent="0.3">
      <c r="A9" s="19">
        <v>2</v>
      </c>
      <c r="B9" s="20" t="s">
        <v>11</v>
      </c>
      <c r="C9" s="19" t="s">
        <v>165</v>
      </c>
      <c r="D9" s="22">
        <v>0</v>
      </c>
      <c r="E9" s="22"/>
      <c r="F9" s="22">
        <v>0</v>
      </c>
      <c r="G9" s="22"/>
      <c r="H9" s="22"/>
      <c r="I9" s="22"/>
      <c r="J9" s="22"/>
      <c r="K9" s="27">
        <f t="shared" ref="K9:K39" si="0">(D9+E9+F9+G9+H9+I9)</f>
        <v>0</v>
      </c>
      <c r="M9" s="17"/>
    </row>
    <row r="10" spans="1:13" s="8" customFormat="1" ht="18.75" x14ac:dyDescent="0.3">
      <c r="A10" s="19">
        <v>3</v>
      </c>
      <c r="B10" s="20" t="s">
        <v>12</v>
      </c>
      <c r="C10" s="19" t="s">
        <v>166</v>
      </c>
      <c r="D10" s="28">
        <v>97200</v>
      </c>
      <c r="E10" s="22"/>
      <c r="F10" s="22">
        <v>115920</v>
      </c>
      <c r="G10" s="22"/>
      <c r="H10" s="22"/>
      <c r="I10" s="22">
        <v>39060</v>
      </c>
      <c r="J10" s="22"/>
      <c r="K10" s="27">
        <f t="shared" si="0"/>
        <v>252180</v>
      </c>
      <c r="M10" s="17"/>
    </row>
    <row r="11" spans="1:13" s="8" customFormat="1" ht="18.75" x14ac:dyDescent="0.3">
      <c r="A11" s="19">
        <v>4</v>
      </c>
      <c r="B11" s="20" t="s">
        <v>13</v>
      </c>
      <c r="C11" s="19" t="s">
        <v>167</v>
      </c>
      <c r="D11" s="22">
        <v>0</v>
      </c>
      <c r="E11" s="22"/>
      <c r="F11" s="22">
        <f>(387000+48240)</f>
        <v>435240</v>
      </c>
      <c r="G11" s="22"/>
      <c r="H11" s="22"/>
      <c r="I11" s="22">
        <v>49320</v>
      </c>
      <c r="J11" s="22"/>
      <c r="K11" s="27">
        <f t="shared" si="0"/>
        <v>484560</v>
      </c>
      <c r="M11" s="17"/>
    </row>
    <row r="12" spans="1:13" s="8" customFormat="1" ht="18.75" x14ac:dyDescent="0.3">
      <c r="A12" s="19">
        <v>5</v>
      </c>
      <c r="B12" s="20" t="s">
        <v>14</v>
      </c>
      <c r="C12" s="19" t="s">
        <v>168</v>
      </c>
      <c r="D12" s="22">
        <v>0</v>
      </c>
      <c r="E12" s="22"/>
      <c r="F12" s="22">
        <f>(120000+144000+100000)</f>
        <v>364000</v>
      </c>
      <c r="G12" s="22">
        <f>(120000+48240)</f>
        <v>168240</v>
      </c>
      <c r="H12" s="22">
        <f>(46080+49320)</f>
        <v>95400</v>
      </c>
      <c r="I12" s="22"/>
      <c r="J12" s="22"/>
      <c r="K12" s="27">
        <f t="shared" si="0"/>
        <v>627640</v>
      </c>
      <c r="M12" s="17"/>
    </row>
    <row r="13" spans="1:13" s="8" customFormat="1" ht="18.75" x14ac:dyDescent="0.3">
      <c r="A13" s="19">
        <v>6</v>
      </c>
      <c r="B13" s="20" t="s">
        <v>15</v>
      </c>
      <c r="C13" s="19" t="s">
        <v>169</v>
      </c>
      <c r="D13" s="22">
        <v>0</v>
      </c>
      <c r="E13" s="22"/>
      <c r="F13" s="22">
        <v>0</v>
      </c>
      <c r="G13" s="22"/>
      <c r="H13" s="22"/>
      <c r="I13" s="22"/>
      <c r="J13" s="22"/>
      <c r="K13" s="27">
        <f t="shared" si="0"/>
        <v>0</v>
      </c>
      <c r="M13" s="17"/>
    </row>
    <row r="14" spans="1:13" s="8" customFormat="1" ht="18.75" x14ac:dyDescent="0.3">
      <c r="A14" s="19">
        <v>7</v>
      </c>
      <c r="B14" s="20" t="s">
        <v>16</v>
      </c>
      <c r="C14" s="19" t="s">
        <v>179</v>
      </c>
      <c r="D14" s="22">
        <v>0</v>
      </c>
      <c r="E14" s="22"/>
      <c r="F14" s="22"/>
      <c r="G14" s="22"/>
      <c r="H14" s="22"/>
      <c r="I14" s="22">
        <f>(20000+85000)</f>
        <v>105000</v>
      </c>
      <c r="J14" s="22">
        <v>30000</v>
      </c>
      <c r="K14" s="27">
        <f>(D14+E14+F14+G14+H14+I14+J14)</f>
        <v>135000</v>
      </c>
      <c r="M14" s="17"/>
    </row>
    <row r="15" spans="1:13" s="8" customFormat="1" ht="18.75" x14ac:dyDescent="0.3">
      <c r="A15" s="19">
        <v>8</v>
      </c>
      <c r="B15" s="20" t="s">
        <v>17</v>
      </c>
      <c r="C15" s="19" t="s">
        <v>171</v>
      </c>
      <c r="D15" s="22">
        <v>0</v>
      </c>
      <c r="E15" s="22"/>
      <c r="F15" s="22"/>
      <c r="G15" s="22"/>
      <c r="H15" s="22"/>
      <c r="I15" s="22"/>
      <c r="J15" s="22"/>
      <c r="K15" s="27">
        <f t="shared" si="0"/>
        <v>0</v>
      </c>
      <c r="M15" s="17"/>
    </row>
    <row r="16" spans="1:13" s="8" customFormat="1" ht="18.75" x14ac:dyDescent="0.3">
      <c r="A16" s="19">
        <v>9</v>
      </c>
      <c r="B16" s="20" t="s">
        <v>18</v>
      </c>
      <c r="C16" s="19" t="s">
        <v>172</v>
      </c>
      <c r="D16" s="22">
        <v>0</v>
      </c>
      <c r="E16" s="22"/>
      <c r="F16" s="22"/>
      <c r="G16" s="22"/>
      <c r="H16" s="22">
        <f>(123593.2)</f>
        <v>123593.2</v>
      </c>
      <c r="I16" s="22">
        <v>109362.4</v>
      </c>
      <c r="J16" s="22">
        <v>124637.5</v>
      </c>
      <c r="K16" s="27">
        <f>(D16+E16+F16+G16+H16+I16+J16)</f>
        <v>357593.1</v>
      </c>
      <c r="M16" s="17"/>
    </row>
    <row r="17" spans="1:13" s="8" customFormat="1" ht="18.75" x14ac:dyDescent="0.3">
      <c r="A17" s="19">
        <v>10</v>
      </c>
      <c r="B17" s="20" t="s">
        <v>19</v>
      </c>
      <c r="C17" s="19" t="s">
        <v>173</v>
      </c>
      <c r="D17" s="22">
        <v>1141844.1399999999</v>
      </c>
      <c r="E17" s="22"/>
      <c r="F17" s="22">
        <v>0</v>
      </c>
      <c r="G17" s="22"/>
      <c r="H17" s="22"/>
      <c r="I17" s="22"/>
      <c r="J17" s="22"/>
      <c r="K17" s="27">
        <f t="shared" si="0"/>
        <v>1141844.1399999999</v>
      </c>
      <c r="M17" s="17"/>
    </row>
    <row r="18" spans="1:13" s="8" customFormat="1" ht="18.75" x14ac:dyDescent="0.3">
      <c r="A18" s="19">
        <v>11</v>
      </c>
      <c r="B18" s="20" t="s">
        <v>20</v>
      </c>
      <c r="C18" s="19" t="s">
        <v>174</v>
      </c>
      <c r="D18" s="22"/>
      <c r="E18" s="22"/>
      <c r="F18" s="22">
        <v>263564</v>
      </c>
      <c r="G18" s="22"/>
      <c r="H18" s="22"/>
      <c r="I18" s="22"/>
      <c r="J18" s="22"/>
      <c r="K18" s="27">
        <f t="shared" si="0"/>
        <v>263564</v>
      </c>
      <c r="M18" s="17"/>
    </row>
    <row r="19" spans="1:13" s="8" customFormat="1" ht="18.75" x14ac:dyDescent="0.3">
      <c r="A19" s="19">
        <v>12</v>
      </c>
      <c r="B19" s="20" t="s">
        <v>21</v>
      </c>
      <c r="C19" s="19" t="s">
        <v>169</v>
      </c>
      <c r="D19" s="22">
        <v>0</v>
      </c>
      <c r="E19" s="22"/>
      <c r="F19" s="22">
        <v>70620</v>
      </c>
      <c r="G19" s="22"/>
      <c r="H19" s="22"/>
      <c r="I19" s="22"/>
      <c r="J19" s="22">
        <v>137000</v>
      </c>
      <c r="K19" s="27">
        <f>(D19+E19+F19+G19+H19+I19+J19)</f>
        <v>207620</v>
      </c>
      <c r="M19" s="17"/>
    </row>
    <row r="20" spans="1:13" s="8" customFormat="1" ht="18.75" x14ac:dyDescent="0.3">
      <c r="A20" s="19">
        <v>13</v>
      </c>
      <c r="B20" s="20" t="s">
        <v>22</v>
      </c>
      <c r="C20" s="19" t="s">
        <v>175</v>
      </c>
      <c r="D20" s="22">
        <v>0</v>
      </c>
      <c r="E20" s="22">
        <v>30000</v>
      </c>
      <c r="F20" s="22">
        <v>40000</v>
      </c>
      <c r="G20" s="22"/>
      <c r="H20" s="22"/>
      <c r="I20" s="22"/>
      <c r="J20" s="22"/>
      <c r="K20" s="27">
        <f t="shared" si="0"/>
        <v>70000</v>
      </c>
      <c r="M20" s="17"/>
    </row>
    <row r="21" spans="1:13" s="8" customFormat="1" ht="18.75" x14ac:dyDescent="0.3">
      <c r="A21" s="19">
        <v>14</v>
      </c>
      <c r="B21" s="20" t="s">
        <v>23</v>
      </c>
      <c r="C21" s="19" t="s">
        <v>225</v>
      </c>
      <c r="D21" s="22">
        <v>0</v>
      </c>
      <c r="E21" s="22">
        <v>12000</v>
      </c>
      <c r="F21" s="22">
        <v>0</v>
      </c>
      <c r="G21" s="22"/>
      <c r="H21" s="22"/>
      <c r="I21" s="22"/>
      <c r="J21" s="22"/>
      <c r="K21" s="27">
        <f t="shared" si="0"/>
        <v>12000</v>
      </c>
      <c r="M21" s="17"/>
    </row>
    <row r="22" spans="1:13" s="8" customFormat="1" ht="18.75" x14ac:dyDescent="0.3">
      <c r="A22" s="19">
        <v>15</v>
      </c>
      <c r="B22" s="20" t="s">
        <v>24</v>
      </c>
      <c r="C22" s="19" t="s">
        <v>177</v>
      </c>
      <c r="D22" s="22">
        <v>0</v>
      </c>
      <c r="E22" s="22">
        <v>0</v>
      </c>
      <c r="F22" s="22"/>
      <c r="G22" s="22"/>
      <c r="H22" s="22"/>
      <c r="I22" s="22">
        <f>(105338.6+111746.58)</f>
        <v>217085.18</v>
      </c>
      <c r="J22" s="22">
        <v>40420</v>
      </c>
      <c r="K22" s="27">
        <f>(D22+E22+F22+G22+H22+I22+J22)</f>
        <v>257505.18</v>
      </c>
      <c r="M22" s="17"/>
    </row>
    <row r="23" spans="1:13" s="8" customFormat="1" ht="18.75" x14ac:dyDescent="0.3">
      <c r="A23" s="19">
        <v>16</v>
      </c>
      <c r="B23" s="20" t="s">
        <v>25</v>
      </c>
      <c r="C23" s="19" t="s">
        <v>178</v>
      </c>
      <c r="D23" s="22">
        <v>0</v>
      </c>
      <c r="E23" s="22">
        <v>0</v>
      </c>
      <c r="F23" s="22"/>
      <c r="G23" s="22"/>
      <c r="H23" s="22"/>
      <c r="I23" s="22">
        <f>(7391.28+137903.22)</f>
        <v>145294.5</v>
      </c>
      <c r="J23" s="22"/>
      <c r="K23" s="27">
        <f t="shared" si="0"/>
        <v>145294.5</v>
      </c>
      <c r="M23" s="17"/>
    </row>
    <row r="24" spans="1:13" s="8" customFormat="1" ht="18.75" x14ac:dyDescent="0.3">
      <c r="A24" s="19">
        <v>17</v>
      </c>
      <c r="B24" s="20" t="s">
        <v>26</v>
      </c>
      <c r="C24" s="19"/>
      <c r="D24" s="22">
        <v>0</v>
      </c>
      <c r="E24" s="22">
        <v>0</v>
      </c>
      <c r="F24" s="22">
        <v>0</v>
      </c>
      <c r="G24" s="22"/>
      <c r="H24" s="22"/>
      <c r="I24" s="22"/>
      <c r="J24" s="22"/>
      <c r="K24" s="27">
        <f t="shared" si="0"/>
        <v>0</v>
      </c>
      <c r="M24" s="17"/>
    </row>
    <row r="25" spans="1:13" s="8" customFormat="1" ht="18.75" x14ac:dyDescent="0.3">
      <c r="A25" s="19">
        <v>18</v>
      </c>
      <c r="B25" s="20" t="s">
        <v>246</v>
      </c>
      <c r="C25" s="19" t="s">
        <v>179</v>
      </c>
      <c r="D25" s="22">
        <v>0</v>
      </c>
      <c r="E25" s="22"/>
      <c r="F25" s="22"/>
      <c r="G25" s="22"/>
      <c r="H25" s="22"/>
      <c r="I25" s="22"/>
      <c r="J25" s="22"/>
      <c r="K25" s="27">
        <f t="shared" si="0"/>
        <v>0</v>
      </c>
      <c r="M25" s="17"/>
    </row>
    <row r="26" spans="1:13" s="8" customFormat="1" ht="18.75" x14ac:dyDescent="0.3">
      <c r="A26" s="19">
        <v>19</v>
      </c>
      <c r="B26" s="20" t="s">
        <v>27</v>
      </c>
      <c r="C26" s="19" t="s">
        <v>263</v>
      </c>
      <c r="D26" s="28">
        <f>(3600+13711.7)</f>
        <v>17311.7</v>
      </c>
      <c r="E26" s="22">
        <v>7851.24</v>
      </c>
      <c r="F26" s="22"/>
      <c r="G26" s="22"/>
      <c r="H26" s="22"/>
      <c r="I26" s="22"/>
      <c r="J26" s="22"/>
      <c r="K26" s="27">
        <f t="shared" si="0"/>
        <v>25162.940000000002</v>
      </c>
      <c r="M26" s="17"/>
    </row>
    <row r="27" spans="1:13" s="8" customFormat="1" ht="18.75" x14ac:dyDescent="0.3">
      <c r="A27" s="19">
        <v>20</v>
      </c>
      <c r="B27" s="20" t="s">
        <v>28</v>
      </c>
      <c r="C27" s="19"/>
      <c r="D27" s="22">
        <v>0</v>
      </c>
      <c r="E27" s="22"/>
      <c r="F27" s="22">
        <v>0</v>
      </c>
      <c r="G27" s="22"/>
      <c r="H27" s="22"/>
      <c r="I27" s="22"/>
      <c r="J27" s="22"/>
      <c r="K27" s="27">
        <f t="shared" si="0"/>
        <v>0</v>
      </c>
      <c r="M27" s="17"/>
    </row>
    <row r="28" spans="1:13" s="8" customFormat="1" ht="18.75" x14ac:dyDescent="0.3">
      <c r="A28" s="19">
        <v>21</v>
      </c>
      <c r="B28" s="20" t="s">
        <v>29</v>
      </c>
      <c r="C28" s="19" t="s">
        <v>179</v>
      </c>
      <c r="D28" s="22">
        <v>86700</v>
      </c>
      <c r="E28" s="22">
        <v>0</v>
      </c>
      <c r="F28" s="22">
        <v>0</v>
      </c>
      <c r="G28" s="22"/>
      <c r="H28" s="22"/>
      <c r="I28" s="22"/>
      <c r="J28" s="22"/>
      <c r="K28" s="27">
        <f t="shared" si="0"/>
        <v>86700</v>
      </c>
      <c r="M28" s="17"/>
    </row>
    <row r="29" spans="1:13" s="8" customFormat="1" ht="18.75" x14ac:dyDescent="0.3">
      <c r="A29" s="19">
        <v>22</v>
      </c>
      <c r="B29" s="20" t="s">
        <v>30</v>
      </c>
      <c r="C29" s="19" t="s">
        <v>169</v>
      </c>
      <c r="D29" s="22">
        <v>0</v>
      </c>
      <c r="E29" s="22">
        <v>0</v>
      </c>
      <c r="F29" s="22">
        <v>0</v>
      </c>
      <c r="G29" s="22"/>
      <c r="H29" s="22"/>
      <c r="I29" s="22"/>
      <c r="J29" s="22"/>
      <c r="K29" s="27">
        <f t="shared" si="0"/>
        <v>0</v>
      </c>
      <c r="M29" s="17"/>
    </row>
    <row r="30" spans="1:13" s="8" customFormat="1" ht="18.75" x14ac:dyDescent="0.3">
      <c r="A30" s="19">
        <v>23</v>
      </c>
      <c r="B30" s="20" t="s">
        <v>31</v>
      </c>
      <c r="C30" s="19" t="s">
        <v>180</v>
      </c>
      <c r="D30" s="28">
        <v>17995</v>
      </c>
      <c r="E30" s="22">
        <v>0</v>
      </c>
      <c r="F30" s="22">
        <v>0</v>
      </c>
      <c r="G30" s="22"/>
      <c r="H30" s="22"/>
      <c r="I30" s="22"/>
      <c r="J30" s="22"/>
      <c r="K30" s="27">
        <f t="shared" si="0"/>
        <v>17995</v>
      </c>
      <c r="M30" s="17"/>
    </row>
    <row r="31" spans="1:13" s="8" customFormat="1" ht="18.75" x14ac:dyDescent="0.3">
      <c r="A31" s="19">
        <v>24</v>
      </c>
      <c r="B31" s="20" t="s">
        <v>32</v>
      </c>
      <c r="C31" s="19" t="s">
        <v>181</v>
      </c>
      <c r="D31" s="22">
        <v>90000</v>
      </c>
      <c r="E31" s="22">
        <v>0</v>
      </c>
      <c r="F31" s="22">
        <v>0</v>
      </c>
      <c r="G31" s="22"/>
      <c r="H31" s="22"/>
      <c r="I31" s="22"/>
      <c r="J31" s="22"/>
      <c r="K31" s="27">
        <f t="shared" si="0"/>
        <v>90000</v>
      </c>
      <c r="M31" s="17"/>
    </row>
    <row r="32" spans="1:13" s="8" customFormat="1" ht="17.25" customHeight="1" x14ac:dyDescent="0.3">
      <c r="A32" s="19">
        <v>25</v>
      </c>
      <c r="B32" s="20" t="s">
        <v>33</v>
      </c>
      <c r="C32" s="19" t="s">
        <v>182</v>
      </c>
      <c r="D32" s="22">
        <v>0</v>
      </c>
      <c r="E32" s="22">
        <v>0</v>
      </c>
      <c r="F32" s="22">
        <v>4720</v>
      </c>
      <c r="G32" s="22"/>
      <c r="H32" s="22"/>
      <c r="I32" s="22"/>
      <c r="J32" s="22"/>
      <c r="K32" s="27">
        <f t="shared" si="0"/>
        <v>4720</v>
      </c>
      <c r="M32" s="17"/>
    </row>
    <row r="33" spans="1:13" s="8" customFormat="1" ht="18" customHeight="1" x14ac:dyDescent="0.3">
      <c r="A33" s="19">
        <v>26</v>
      </c>
      <c r="B33" s="20" t="s">
        <v>34</v>
      </c>
      <c r="C33" s="19" t="s">
        <v>183</v>
      </c>
      <c r="D33" s="22">
        <v>90975</v>
      </c>
      <c r="E33" s="22">
        <v>90550</v>
      </c>
      <c r="F33" s="22">
        <v>0</v>
      </c>
      <c r="G33" s="22"/>
      <c r="H33" s="22"/>
      <c r="I33" s="22"/>
      <c r="J33" s="22"/>
      <c r="K33" s="27">
        <f t="shared" si="0"/>
        <v>181525</v>
      </c>
      <c r="M33" s="17"/>
    </row>
    <row r="34" spans="1:13" s="8" customFormat="1" ht="16.5" customHeight="1" x14ac:dyDescent="0.3">
      <c r="A34" s="19">
        <v>27</v>
      </c>
      <c r="B34" s="20" t="s">
        <v>264</v>
      </c>
      <c r="C34" s="19"/>
      <c r="D34" s="22"/>
      <c r="E34" s="22"/>
      <c r="F34" s="22"/>
      <c r="G34" s="22"/>
      <c r="H34" s="22"/>
      <c r="I34" s="22"/>
      <c r="J34" s="22"/>
      <c r="K34" s="27">
        <f t="shared" si="0"/>
        <v>0</v>
      </c>
      <c r="M34" s="17"/>
    </row>
    <row r="35" spans="1:13" s="8" customFormat="1" ht="14.25" customHeight="1" x14ac:dyDescent="0.3">
      <c r="A35" s="19">
        <v>28</v>
      </c>
      <c r="B35" s="20" t="s">
        <v>35</v>
      </c>
      <c r="C35" s="19" t="s">
        <v>184</v>
      </c>
      <c r="D35" s="22">
        <v>149659.4</v>
      </c>
      <c r="E35" s="22">
        <v>0</v>
      </c>
      <c r="F35" s="22"/>
      <c r="G35" s="22"/>
      <c r="H35" s="22"/>
      <c r="I35" s="22"/>
      <c r="J35" s="22"/>
      <c r="K35" s="27">
        <f t="shared" si="0"/>
        <v>149659.4</v>
      </c>
      <c r="M35" s="17"/>
    </row>
    <row r="36" spans="1:13" s="8" customFormat="1" ht="15.75" customHeight="1" x14ac:dyDescent="0.3">
      <c r="A36" s="19">
        <v>29</v>
      </c>
      <c r="B36" s="20" t="s">
        <v>36</v>
      </c>
      <c r="C36" s="19" t="s">
        <v>185</v>
      </c>
      <c r="D36" s="22">
        <v>0</v>
      </c>
      <c r="E36" s="22"/>
      <c r="F36" s="22"/>
      <c r="G36" s="22">
        <v>149565</v>
      </c>
      <c r="H36" s="22"/>
      <c r="I36" s="22"/>
      <c r="J36" s="22">
        <v>86564.800000000003</v>
      </c>
      <c r="K36" s="27">
        <f>(D36+E36+F36+G36+H36+I36+J36)</f>
        <v>236129.8</v>
      </c>
      <c r="M36" s="17"/>
    </row>
    <row r="37" spans="1:13" s="8" customFormat="1" ht="19.5" customHeight="1" x14ac:dyDescent="0.3">
      <c r="A37" s="19">
        <v>30</v>
      </c>
      <c r="B37" s="20" t="s">
        <v>269</v>
      </c>
      <c r="C37" s="19" t="s">
        <v>179</v>
      </c>
      <c r="D37" s="22"/>
      <c r="E37" s="22"/>
      <c r="F37" s="22">
        <v>149660.06</v>
      </c>
      <c r="G37" s="22"/>
      <c r="H37" s="22">
        <f>(109600+59000+59000+59000)</f>
        <v>286600</v>
      </c>
      <c r="I37" s="22">
        <f>(162542.3+30072.3+102694)</f>
        <v>295308.59999999998</v>
      </c>
      <c r="J37" s="22">
        <f>(49572.3+118692.4)</f>
        <v>168264.7</v>
      </c>
      <c r="K37" s="27">
        <f>(D37+E37+F37+G37+H37+I37+J37)</f>
        <v>899833.35999999987</v>
      </c>
      <c r="M37" s="17"/>
    </row>
    <row r="38" spans="1:13" s="8" customFormat="1" ht="14.25" customHeight="1" x14ac:dyDescent="0.3">
      <c r="A38" s="19">
        <v>31</v>
      </c>
      <c r="B38" s="20" t="s">
        <v>37</v>
      </c>
      <c r="C38" s="19" t="s">
        <v>167</v>
      </c>
      <c r="D38" s="22">
        <v>0</v>
      </c>
      <c r="E38" s="22">
        <v>0</v>
      </c>
      <c r="F38" s="22"/>
      <c r="G38" s="22"/>
      <c r="H38" s="22"/>
      <c r="I38" s="22"/>
      <c r="J38" s="22">
        <f>(6916.9+93846.4+1198.9+123803.7)</f>
        <v>225765.89999999997</v>
      </c>
      <c r="K38" s="27">
        <f>(D38+E38+F38+G38+H38+I38+J38)</f>
        <v>225765.89999999997</v>
      </c>
      <c r="M38" s="17"/>
    </row>
    <row r="39" spans="1:13" s="8" customFormat="1" ht="17.25" customHeight="1" x14ac:dyDescent="0.3">
      <c r="A39" s="19">
        <v>32</v>
      </c>
      <c r="B39" s="20" t="s">
        <v>282</v>
      </c>
      <c r="C39" s="19" t="s">
        <v>283</v>
      </c>
      <c r="D39" s="22"/>
      <c r="E39" s="22"/>
      <c r="F39" s="22"/>
      <c r="G39" s="22"/>
      <c r="H39" s="22">
        <v>6000</v>
      </c>
      <c r="I39" s="22"/>
      <c r="J39" s="22"/>
      <c r="K39" s="27">
        <f t="shared" si="0"/>
        <v>6000</v>
      </c>
      <c r="M39" s="17"/>
    </row>
    <row r="40" spans="1:13" s="8" customFormat="1" ht="14.25" customHeight="1" x14ac:dyDescent="0.3">
      <c r="A40" s="19">
        <v>33</v>
      </c>
      <c r="B40" s="20" t="s">
        <v>38</v>
      </c>
      <c r="C40" s="19" t="s">
        <v>186</v>
      </c>
      <c r="D40" s="22">
        <v>45400</v>
      </c>
      <c r="E40" s="22"/>
      <c r="F40" s="22"/>
      <c r="G40" s="22"/>
      <c r="H40" s="22"/>
      <c r="I40" s="22"/>
      <c r="J40" s="22"/>
      <c r="K40" s="27">
        <f t="shared" ref="K40:K71" si="1">(D40+E40+F40+G40+H40+I40)</f>
        <v>45400</v>
      </c>
      <c r="M40" s="17"/>
    </row>
    <row r="41" spans="1:13" s="8" customFormat="1" ht="17.25" customHeight="1" x14ac:dyDescent="0.3">
      <c r="A41" s="19">
        <v>34</v>
      </c>
      <c r="B41" s="20" t="s">
        <v>39</v>
      </c>
      <c r="C41" s="19" t="s">
        <v>187</v>
      </c>
      <c r="D41" s="22"/>
      <c r="E41" s="22"/>
      <c r="F41" s="22"/>
      <c r="G41" s="22"/>
      <c r="H41" s="22"/>
      <c r="I41" s="22">
        <f>(23611.39+21208.99)</f>
        <v>44820.380000000005</v>
      </c>
      <c r="J41" s="22"/>
      <c r="K41" s="27">
        <f t="shared" si="1"/>
        <v>44820.380000000005</v>
      </c>
      <c r="M41" s="17"/>
    </row>
    <row r="42" spans="1:13" s="8" customFormat="1" ht="14.25" customHeight="1" x14ac:dyDescent="0.3">
      <c r="A42" s="19">
        <v>35</v>
      </c>
      <c r="B42" s="20" t="s">
        <v>40</v>
      </c>
      <c r="C42" s="19" t="s">
        <v>188</v>
      </c>
      <c r="D42" s="22">
        <v>1167856.02</v>
      </c>
      <c r="E42" s="22"/>
      <c r="F42" s="22">
        <v>0</v>
      </c>
      <c r="G42" s="22"/>
      <c r="H42" s="22"/>
      <c r="I42" s="22"/>
      <c r="J42" s="22"/>
      <c r="K42" s="27">
        <f t="shared" si="1"/>
        <v>1167856.02</v>
      </c>
      <c r="M42" s="17"/>
    </row>
    <row r="43" spans="1:13" s="8" customFormat="1" ht="14.25" customHeight="1" x14ac:dyDescent="0.3">
      <c r="A43" s="19">
        <v>36</v>
      </c>
      <c r="B43" s="20" t="s">
        <v>41</v>
      </c>
      <c r="C43" s="19" t="s">
        <v>177</v>
      </c>
      <c r="D43" s="22">
        <v>12950</v>
      </c>
      <c r="E43" s="22">
        <v>104300</v>
      </c>
      <c r="F43" s="22"/>
      <c r="G43" s="22"/>
      <c r="H43" s="22"/>
      <c r="I43" s="22">
        <v>92500</v>
      </c>
      <c r="J43" s="22"/>
      <c r="K43" s="27">
        <f t="shared" si="1"/>
        <v>209750</v>
      </c>
      <c r="M43" s="17"/>
    </row>
    <row r="44" spans="1:13" s="8" customFormat="1" ht="14.25" customHeight="1" x14ac:dyDescent="0.3">
      <c r="A44" s="19">
        <v>37</v>
      </c>
      <c r="B44" s="20" t="s">
        <v>42</v>
      </c>
      <c r="C44" s="19" t="s">
        <v>169</v>
      </c>
      <c r="D44" s="22">
        <v>0</v>
      </c>
      <c r="E44" s="22"/>
      <c r="F44" s="22">
        <v>415140</v>
      </c>
      <c r="G44" s="22"/>
      <c r="H44" s="22"/>
      <c r="I44" s="22">
        <f>(50275+109108+127015.2+131542)</f>
        <v>417940.2</v>
      </c>
      <c r="J44" s="22">
        <v>56455</v>
      </c>
      <c r="K44" s="27">
        <f>(D44+E44+F44+G44+H44+I44+J44)</f>
        <v>889535.2</v>
      </c>
      <c r="M44" s="17"/>
    </row>
    <row r="45" spans="1:13" s="8" customFormat="1" ht="14.25" customHeight="1" x14ac:dyDescent="0.3">
      <c r="A45" s="19">
        <v>38</v>
      </c>
      <c r="B45" s="20" t="s">
        <v>43</v>
      </c>
      <c r="C45" s="19" t="s">
        <v>189</v>
      </c>
      <c r="D45" s="22">
        <v>0</v>
      </c>
      <c r="E45" s="22">
        <v>0</v>
      </c>
      <c r="F45" s="22"/>
      <c r="G45" s="22"/>
      <c r="H45" s="22"/>
      <c r="I45" s="22"/>
      <c r="J45" s="22"/>
      <c r="K45" s="27">
        <f t="shared" si="1"/>
        <v>0</v>
      </c>
      <c r="M45" s="17"/>
    </row>
    <row r="46" spans="1:13" s="8" customFormat="1" ht="16.5" customHeight="1" x14ac:dyDescent="0.3">
      <c r="A46" s="19">
        <v>39</v>
      </c>
      <c r="B46" s="20" t="s">
        <v>44</v>
      </c>
      <c r="C46" s="19" t="s">
        <v>173</v>
      </c>
      <c r="D46" s="22">
        <v>11234</v>
      </c>
      <c r="E46" s="22"/>
      <c r="F46" s="22"/>
      <c r="G46" s="22"/>
      <c r="H46" s="22"/>
      <c r="I46" s="22"/>
      <c r="J46" s="22"/>
      <c r="K46" s="27">
        <f t="shared" si="1"/>
        <v>11234</v>
      </c>
      <c r="M46" s="17"/>
    </row>
    <row r="47" spans="1:13" s="8" customFormat="1" ht="17.25" customHeight="1" x14ac:dyDescent="0.3">
      <c r="A47" s="19">
        <v>40</v>
      </c>
      <c r="B47" s="20" t="s">
        <v>45</v>
      </c>
      <c r="C47" s="19" t="s">
        <v>190</v>
      </c>
      <c r="D47" s="22">
        <v>272921.38</v>
      </c>
      <c r="E47" s="22"/>
      <c r="F47" s="22">
        <v>0</v>
      </c>
      <c r="G47" s="22"/>
      <c r="H47" s="22"/>
      <c r="I47" s="22"/>
      <c r="J47" s="22"/>
      <c r="K47" s="27">
        <f t="shared" si="1"/>
        <v>272921.38</v>
      </c>
      <c r="M47" s="17"/>
    </row>
    <row r="48" spans="1:13" s="8" customFormat="1" ht="20.25" customHeight="1" x14ac:dyDescent="0.3">
      <c r="A48" s="19">
        <v>41</v>
      </c>
      <c r="B48" s="20" t="s">
        <v>46</v>
      </c>
      <c r="C48" s="19" t="s">
        <v>191</v>
      </c>
      <c r="D48" s="22">
        <v>0</v>
      </c>
      <c r="E48" s="22">
        <v>1539.9</v>
      </c>
      <c r="F48" s="22">
        <v>0</v>
      </c>
      <c r="G48" s="22"/>
      <c r="H48" s="22"/>
      <c r="I48" s="22"/>
      <c r="J48" s="22"/>
      <c r="K48" s="27">
        <f t="shared" si="1"/>
        <v>1539.9</v>
      </c>
      <c r="M48" s="17"/>
    </row>
    <row r="49" spans="1:13" s="8" customFormat="1" ht="18.75" customHeight="1" x14ac:dyDescent="0.3">
      <c r="A49" s="19">
        <v>42</v>
      </c>
      <c r="B49" s="20" t="s">
        <v>47</v>
      </c>
      <c r="C49" s="19" t="s">
        <v>174</v>
      </c>
      <c r="D49" s="22">
        <v>0</v>
      </c>
      <c r="E49" s="22">
        <v>0</v>
      </c>
      <c r="F49" s="22">
        <v>65270</v>
      </c>
      <c r="G49" s="22"/>
      <c r="H49" s="22"/>
      <c r="I49" s="22">
        <v>12508</v>
      </c>
      <c r="J49" s="22"/>
      <c r="K49" s="27">
        <f t="shared" si="1"/>
        <v>77778</v>
      </c>
      <c r="M49" s="17"/>
    </row>
    <row r="50" spans="1:13" s="8" customFormat="1" ht="14.25" customHeight="1" x14ac:dyDescent="0.3">
      <c r="A50" s="19">
        <v>43</v>
      </c>
      <c r="B50" s="20" t="s">
        <v>279</v>
      </c>
      <c r="C50" s="19" t="s">
        <v>280</v>
      </c>
      <c r="D50" s="22"/>
      <c r="E50" s="22"/>
      <c r="F50" s="22"/>
      <c r="G50" s="22"/>
      <c r="H50" s="22"/>
      <c r="I50" s="22"/>
      <c r="J50" s="22"/>
      <c r="K50" s="27">
        <f t="shared" si="1"/>
        <v>0</v>
      </c>
      <c r="M50" s="17"/>
    </row>
    <row r="51" spans="1:13" s="8" customFormat="1" ht="14.25" customHeight="1" x14ac:dyDescent="0.3">
      <c r="A51" s="19">
        <v>44</v>
      </c>
      <c r="B51" s="20" t="s">
        <v>48</v>
      </c>
      <c r="C51" s="19" t="s">
        <v>187</v>
      </c>
      <c r="D51" s="22">
        <v>553131</v>
      </c>
      <c r="E51" s="22"/>
      <c r="F51" s="22">
        <v>0</v>
      </c>
      <c r="G51" s="22"/>
      <c r="H51" s="22"/>
      <c r="I51" s="22"/>
      <c r="J51" s="22"/>
      <c r="K51" s="27">
        <f t="shared" si="1"/>
        <v>553131</v>
      </c>
      <c r="M51" s="17"/>
    </row>
    <row r="52" spans="1:13" s="8" customFormat="1" ht="14.25" customHeight="1" x14ac:dyDescent="0.3">
      <c r="A52" s="19">
        <v>45</v>
      </c>
      <c r="B52" s="20" t="s">
        <v>49</v>
      </c>
      <c r="C52" s="19" t="s">
        <v>192</v>
      </c>
      <c r="D52" s="22">
        <v>159730.70000000001</v>
      </c>
      <c r="E52" s="22">
        <v>0</v>
      </c>
      <c r="F52" s="22"/>
      <c r="G52" s="22"/>
      <c r="H52" s="22"/>
      <c r="I52" s="22"/>
      <c r="J52" s="22"/>
      <c r="K52" s="27">
        <f t="shared" si="1"/>
        <v>159730.70000000001</v>
      </c>
      <c r="M52" s="17"/>
    </row>
    <row r="53" spans="1:13" s="8" customFormat="1" ht="14.25" customHeight="1" x14ac:dyDescent="0.3">
      <c r="A53" s="19">
        <v>46</v>
      </c>
      <c r="B53" s="20" t="s">
        <v>50</v>
      </c>
      <c r="C53" s="19" t="s">
        <v>193</v>
      </c>
      <c r="D53" s="22">
        <v>184729.76</v>
      </c>
      <c r="E53" s="22">
        <v>0</v>
      </c>
      <c r="F53" s="22"/>
      <c r="G53" s="22"/>
      <c r="H53" s="22"/>
      <c r="I53" s="22"/>
      <c r="J53" s="22"/>
      <c r="K53" s="27">
        <f t="shared" si="1"/>
        <v>184729.76</v>
      </c>
      <c r="M53" s="17"/>
    </row>
    <row r="54" spans="1:13" s="8" customFormat="1" ht="14.25" customHeight="1" x14ac:dyDescent="0.3">
      <c r="A54" s="19">
        <v>47</v>
      </c>
      <c r="B54" s="20" t="s">
        <v>265</v>
      </c>
      <c r="C54" s="19" t="s">
        <v>194</v>
      </c>
      <c r="D54" s="22"/>
      <c r="E54" s="22">
        <f>(62000+45020)</f>
        <v>107020</v>
      </c>
      <c r="F54" s="22">
        <f>(29800+13200)</f>
        <v>43000</v>
      </c>
      <c r="G54" s="22"/>
      <c r="H54" s="22"/>
      <c r="I54" s="22"/>
      <c r="J54" s="22"/>
      <c r="K54" s="27">
        <f t="shared" si="1"/>
        <v>150020</v>
      </c>
      <c r="M54" s="17"/>
    </row>
    <row r="55" spans="1:13" s="8" customFormat="1" ht="14.25" customHeight="1" x14ac:dyDescent="0.3">
      <c r="A55" s="19">
        <v>48</v>
      </c>
      <c r="B55" s="20" t="s">
        <v>51</v>
      </c>
      <c r="C55" s="19" t="s">
        <v>195</v>
      </c>
      <c r="D55" s="29"/>
      <c r="E55" s="29">
        <v>0</v>
      </c>
      <c r="F55" s="22">
        <v>5000</v>
      </c>
      <c r="G55" s="29"/>
      <c r="H55" s="22"/>
      <c r="I55" s="22"/>
      <c r="J55" s="22"/>
      <c r="K55" s="27">
        <f t="shared" si="1"/>
        <v>5000</v>
      </c>
      <c r="M55" s="17"/>
    </row>
    <row r="56" spans="1:13" s="8" customFormat="1" ht="14.25" customHeight="1" x14ac:dyDescent="0.3">
      <c r="A56" s="19">
        <v>49</v>
      </c>
      <c r="B56" s="20" t="s">
        <v>52</v>
      </c>
      <c r="C56" s="19" t="s">
        <v>188</v>
      </c>
      <c r="D56" s="22">
        <v>0</v>
      </c>
      <c r="E56" s="22">
        <v>0</v>
      </c>
      <c r="F56" s="22">
        <f>(141040+48310+79030.5+52000+87626.4)</f>
        <v>408006.9</v>
      </c>
      <c r="G56" s="22">
        <v>71781</v>
      </c>
      <c r="H56" s="22">
        <f>(82865.85+83906.85)</f>
        <v>166772.70000000001</v>
      </c>
      <c r="I56" s="22">
        <f>(158280+163904)</f>
        <v>322184</v>
      </c>
      <c r="J56" s="22">
        <f>(111969+49020)</f>
        <v>160989</v>
      </c>
      <c r="K56" s="27">
        <f>(D56+E56+F56+G56+H56+I56+J56)</f>
        <v>1129733.6000000001</v>
      </c>
      <c r="L56" s="30"/>
      <c r="M56" s="17"/>
    </row>
    <row r="57" spans="1:13" s="8" customFormat="1" ht="14.25" customHeight="1" x14ac:dyDescent="0.3">
      <c r="A57" s="19">
        <v>50</v>
      </c>
      <c r="B57" s="20" t="s">
        <v>262</v>
      </c>
      <c r="C57" s="19" t="s">
        <v>179</v>
      </c>
      <c r="D57" s="22"/>
      <c r="E57" s="22"/>
      <c r="F57" s="22"/>
      <c r="G57" s="22"/>
      <c r="H57" s="22">
        <v>158000</v>
      </c>
      <c r="I57" s="22"/>
      <c r="J57" s="22"/>
      <c r="K57" s="27">
        <f t="shared" si="1"/>
        <v>158000</v>
      </c>
      <c r="L57" s="30"/>
      <c r="M57" s="17"/>
    </row>
    <row r="58" spans="1:13" s="8" customFormat="1" ht="14.25" customHeight="1" x14ac:dyDescent="0.3">
      <c r="A58" s="19">
        <v>51</v>
      </c>
      <c r="B58" s="20" t="s">
        <v>53</v>
      </c>
      <c r="C58" s="19" t="s">
        <v>179</v>
      </c>
      <c r="D58" s="28">
        <v>14250</v>
      </c>
      <c r="E58" s="22"/>
      <c r="F58" s="22">
        <v>201206.75</v>
      </c>
      <c r="G58" s="22">
        <f>(1410.8+5616+4266.02+5610.6)</f>
        <v>16903.419999999998</v>
      </c>
      <c r="H58" s="22">
        <f>(1937+1013.15+1350.03+3757.6+1028.1+13000+1127.5)</f>
        <v>23213.38</v>
      </c>
      <c r="I58" s="22">
        <f>(345.6+345.6+508.14+1803.8+1036.8+2314.92+10835)</f>
        <v>17189.86</v>
      </c>
      <c r="J58" s="22">
        <f>(2303.6+2880.45+495.84+284.2+13002+3558.75)</f>
        <v>22524.84</v>
      </c>
      <c r="K58" s="27">
        <f>(D58+E58+F58+G58+H58+I58+J58)</f>
        <v>295288.25</v>
      </c>
      <c r="M58" s="17"/>
    </row>
    <row r="59" spans="1:13" s="8" customFormat="1" ht="14.25" customHeight="1" x14ac:dyDescent="0.3">
      <c r="A59" s="19">
        <v>52</v>
      </c>
      <c r="B59" s="20" t="s">
        <v>54</v>
      </c>
      <c r="C59" s="19" t="s">
        <v>179</v>
      </c>
      <c r="D59" s="22">
        <v>179900</v>
      </c>
      <c r="E59" s="22">
        <v>0</v>
      </c>
      <c r="F59" s="22"/>
      <c r="G59" s="22"/>
      <c r="H59" s="22"/>
      <c r="I59" s="22"/>
      <c r="J59" s="22"/>
      <c r="K59" s="27">
        <f t="shared" si="1"/>
        <v>179900</v>
      </c>
      <c r="M59" s="17"/>
    </row>
    <row r="60" spans="1:13" s="8" customFormat="1" ht="14.25" customHeight="1" x14ac:dyDescent="0.3">
      <c r="A60" s="19">
        <v>53</v>
      </c>
      <c r="B60" s="20" t="s">
        <v>55</v>
      </c>
      <c r="C60" s="19" t="s">
        <v>196</v>
      </c>
      <c r="D60" s="22">
        <v>0</v>
      </c>
      <c r="E60" s="22">
        <v>0</v>
      </c>
      <c r="F60" s="22"/>
      <c r="G60" s="22"/>
      <c r="H60" s="22"/>
      <c r="I60" s="22"/>
      <c r="J60" s="22"/>
      <c r="K60" s="27">
        <f t="shared" si="1"/>
        <v>0</v>
      </c>
      <c r="M60" s="17"/>
    </row>
    <row r="61" spans="1:13" s="8" customFormat="1" ht="14.25" customHeight="1" x14ac:dyDescent="0.3">
      <c r="A61" s="19">
        <v>54</v>
      </c>
      <c r="B61" s="20" t="s">
        <v>56</v>
      </c>
      <c r="C61" s="19" t="s">
        <v>197</v>
      </c>
      <c r="D61" s="28">
        <v>3996.36</v>
      </c>
      <c r="E61" s="22">
        <v>0</v>
      </c>
      <c r="F61" s="22"/>
      <c r="G61" s="22"/>
      <c r="H61" s="22"/>
      <c r="I61" s="22"/>
      <c r="J61" s="22"/>
      <c r="K61" s="27">
        <f t="shared" si="1"/>
        <v>3996.36</v>
      </c>
      <c r="M61" s="17"/>
    </row>
    <row r="62" spans="1:13" s="8" customFormat="1" ht="14.25" customHeight="1" x14ac:dyDescent="0.3">
      <c r="A62" s="19">
        <v>55</v>
      </c>
      <c r="B62" s="20" t="s">
        <v>57</v>
      </c>
      <c r="C62" s="19" t="s">
        <v>198</v>
      </c>
      <c r="D62" s="22">
        <v>199954.44000000006</v>
      </c>
      <c r="E62" s="22">
        <v>0</v>
      </c>
      <c r="F62" s="22">
        <v>0</v>
      </c>
      <c r="G62" s="22"/>
      <c r="H62" s="22"/>
      <c r="I62" s="22"/>
      <c r="J62" s="22"/>
      <c r="K62" s="27">
        <f t="shared" si="1"/>
        <v>199954.44000000006</v>
      </c>
      <c r="M62" s="17"/>
    </row>
    <row r="63" spans="1:13" s="8" customFormat="1" ht="14.25" customHeight="1" x14ac:dyDescent="0.3">
      <c r="A63" s="19">
        <v>56</v>
      </c>
      <c r="B63" s="20" t="s">
        <v>58</v>
      </c>
      <c r="C63" s="19" t="s">
        <v>199</v>
      </c>
      <c r="D63" s="22">
        <v>0</v>
      </c>
      <c r="E63" s="22">
        <v>0</v>
      </c>
      <c r="F63" s="22">
        <v>0</v>
      </c>
      <c r="G63" s="22"/>
      <c r="H63" s="22"/>
      <c r="I63" s="22"/>
      <c r="J63" s="22"/>
      <c r="K63" s="27">
        <f t="shared" si="1"/>
        <v>0</v>
      </c>
      <c r="M63" s="17"/>
    </row>
    <row r="64" spans="1:13" s="8" customFormat="1" ht="14.25" customHeight="1" x14ac:dyDescent="0.3">
      <c r="A64" s="19">
        <v>57</v>
      </c>
      <c r="B64" s="20" t="s">
        <v>59</v>
      </c>
      <c r="C64" s="19" t="s">
        <v>200</v>
      </c>
      <c r="D64" s="22">
        <v>985855</v>
      </c>
      <c r="E64" s="22">
        <v>0</v>
      </c>
      <c r="F64" s="22">
        <v>0</v>
      </c>
      <c r="G64" s="22"/>
      <c r="H64" s="22"/>
      <c r="I64" s="22"/>
      <c r="J64" s="22"/>
      <c r="K64" s="27">
        <f t="shared" si="1"/>
        <v>985855</v>
      </c>
      <c r="M64" s="17"/>
    </row>
    <row r="65" spans="1:13" s="8" customFormat="1" ht="14.25" customHeight="1" x14ac:dyDescent="0.3">
      <c r="A65" s="19">
        <v>58</v>
      </c>
      <c r="B65" s="20" t="s">
        <v>60</v>
      </c>
      <c r="C65" s="19" t="s">
        <v>201</v>
      </c>
      <c r="D65" s="22"/>
      <c r="E65" s="22">
        <v>0</v>
      </c>
      <c r="F65" s="22"/>
      <c r="G65" s="22"/>
      <c r="H65" s="22"/>
      <c r="I65" s="22"/>
      <c r="J65" s="22"/>
      <c r="K65" s="27">
        <f t="shared" si="1"/>
        <v>0</v>
      </c>
      <c r="M65" s="17"/>
    </row>
    <row r="66" spans="1:13" s="8" customFormat="1" ht="14.25" customHeight="1" x14ac:dyDescent="0.3">
      <c r="A66" s="19">
        <v>59</v>
      </c>
      <c r="B66" s="20" t="s">
        <v>61</v>
      </c>
      <c r="C66" s="19" t="s">
        <v>179</v>
      </c>
      <c r="D66" s="22"/>
      <c r="E66" s="22"/>
      <c r="F66" s="22"/>
      <c r="G66" s="22"/>
      <c r="H66" s="22">
        <f>(283000+160000)</f>
        <v>443000</v>
      </c>
      <c r="I66" s="22">
        <v>163700</v>
      </c>
      <c r="J66" s="22">
        <v>150000</v>
      </c>
      <c r="K66" s="27">
        <f>(D66+E66+F66+G66+H66+I66+J66)</f>
        <v>756700</v>
      </c>
      <c r="M66" s="17"/>
    </row>
    <row r="67" spans="1:13" s="8" customFormat="1" ht="14.25" customHeight="1" x14ac:dyDescent="0.3">
      <c r="A67" s="19">
        <v>60</v>
      </c>
      <c r="B67" s="20" t="s">
        <v>62</v>
      </c>
      <c r="C67" s="19" t="s">
        <v>198</v>
      </c>
      <c r="D67" s="22"/>
      <c r="E67" s="22">
        <v>0</v>
      </c>
      <c r="F67" s="22">
        <v>47000</v>
      </c>
      <c r="G67" s="22"/>
      <c r="H67" s="22"/>
      <c r="I67" s="22">
        <v>31400</v>
      </c>
      <c r="J67" s="22"/>
      <c r="K67" s="27">
        <f t="shared" si="1"/>
        <v>78400</v>
      </c>
      <c r="M67" s="17"/>
    </row>
    <row r="68" spans="1:13" s="8" customFormat="1" ht="14.25" customHeight="1" x14ac:dyDescent="0.3">
      <c r="A68" s="19">
        <v>61</v>
      </c>
      <c r="B68" s="20" t="s">
        <v>63</v>
      </c>
      <c r="C68" s="19" t="s">
        <v>202</v>
      </c>
      <c r="D68" s="28">
        <v>1400</v>
      </c>
      <c r="E68" s="22">
        <v>0</v>
      </c>
      <c r="F68" s="22"/>
      <c r="G68" s="22"/>
      <c r="H68" s="22"/>
      <c r="I68" s="22"/>
      <c r="J68" s="22"/>
      <c r="K68" s="27">
        <f t="shared" si="1"/>
        <v>1400</v>
      </c>
      <c r="M68" s="17"/>
    </row>
    <row r="69" spans="1:13" s="8" customFormat="1" ht="14.25" customHeight="1" x14ac:dyDescent="0.3">
      <c r="A69" s="19">
        <v>62</v>
      </c>
      <c r="B69" s="20" t="s">
        <v>64</v>
      </c>
      <c r="C69" s="19" t="s">
        <v>169</v>
      </c>
      <c r="D69" s="22">
        <v>0</v>
      </c>
      <c r="E69" s="22"/>
      <c r="F69" s="22"/>
      <c r="G69" s="22"/>
      <c r="H69" s="22"/>
      <c r="I69" s="22"/>
      <c r="J69" s="22"/>
      <c r="K69" s="27">
        <f t="shared" si="1"/>
        <v>0</v>
      </c>
      <c r="M69" s="17"/>
    </row>
    <row r="70" spans="1:13" s="8" customFormat="1" ht="14.25" customHeight="1" x14ac:dyDescent="0.3">
      <c r="A70" s="19">
        <v>63</v>
      </c>
      <c r="B70" s="20" t="s">
        <v>65</v>
      </c>
      <c r="C70" s="19" t="s">
        <v>188</v>
      </c>
      <c r="D70" s="22">
        <v>120000</v>
      </c>
      <c r="E70" s="22">
        <v>0</v>
      </c>
      <c r="F70" s="22">
        <v>0</v>
      </c>
      <c r="G70" s="22"/>
      <c r="H70" s="22"/>
      <c r="I70" s="22"/>
      <c r="J70" s="22"/>
      <c r="K70" s="27">
        <f t="shared" si="1"/>
        <v>120000</v>
      </c>
      <c r="M70" s="17"/>
    </row>
    <row r="71" spans="1:13" s="8" customFormat="1" ht="14.25" customHeight="1" x14ac:dyDescent="0.3">
      <c r="A71" s="19">
        <v>64</v>
      </c>
      <c r="B71" s="20" t="s">
        <v>270</v>
      </c>
      <c r="C71" s="19" t="s">
        <v>271</v>
      </c>
      <c r="D71" s="22"/>
      <c r="E71" s="22"/>
      <c r="F71" s="22"/>
      <c r="G71" s="22"/>
      <c r="H71" s="22"/>
      <c r="I71" s="22"/>
      <c r="J71" s="22"/>
      <c r="K71" s="27">
        <f t="shared" si="1"/>
        <v>0</v>
      </c>
      <c r="M71" s="17"/>
    </row>
    <row r="72" spans="1:13" s="8" customFormat="1" ht="14.25" customHeight="1" x14ac:dyDescent="0.3">
      <c r="A72" s="19">
        <v>65</v>
      </c>
      <c r="B72" s="20" t="s">
        <v>66</v>
      </c>
      <c r="C72" s="19" t="s">
        <v>179</v>
      </c>
      <c r="D72" s="22">
        <v>29117.16</v>
      </c>
      <c r="E72" s="22">
        <v>0</v>
      </c>
      <c r="F72" s="22"/>
      <c r="G72" s="22"/>
      <c r="H72" s="22"/>
      <c r="I72" s="22"/>
      <c r="J72" s="22"/>
      <c r="K72" s="27">
        <f t="shared" ref="K72:K79" si="2">(D72+E72+F72+G72+H72+I72)</f>
        <v>29117.16</v>
      </c>
      <c r="M72" s="17"/>
    </row>
    <row r="73" spans="1:13" s="8" customFormat="1" ht="14.25" customHeight="1" x14ac:dyDescent="0.3">
      <c r="A73" s="19">
        <v>66</v>
      </c>
      <c r="B73" s="20" t="s">
        <v>67</v>
      </c>
      <c r="C73" s="19" t="s">
        <v>203</v>
      </c>
      <c r="D73" s="22">
        <v>0</v>
      </c>
      <c r="E73" s="22">
        <v>0</v>
      </c>
      <c r="F73" s="22"/>
      <c r="G73" s="22"/>
      <c r="H73" s="22"/>
      <c r="I73" s="22"/>
      <c r="J73" s="22"/>
      <c r="K73" s="27">
        <f t="shared" si="2"/>
        <v>0</v>
      </c>
      <c r="M73" s="17"/>
    </row>
    <row r="74" spans="1:13" s="8" customFormat="1" ht="14.25" customHeight="1" x14ac:dyDescent="0.3">
      <c r="A74" s="19">
        <v>66</v>
      </c>
      <c r="B74" s="20" t="s">
        <v>68</v>
      </c>
      <c r="C74" s="19" t="s">
        <v>204</v>
      </c>
      <c r="D74" s="22">
        <v>0</v>
      </c>
      <c r="E74" s="22">
        <v>0</v>
      </c>
      <c r="F74" s="22">
        <v>0</v>
      </c>
      <c r="G74" s="22"/>
      <c r="H74" s="22"/>
      <c r="I74" s="22"/>
      <c r="J74" s="22"/>
      <c r="K74" s="27">
        <f t="shared" si="2"/>
        <v>0</v>
      </c>
      <c r="M74" s="17"/>
    </row>
    <row r="75" spans="1:13" s="8" customFormat="1" ht="14.25" customHeight="1" x14ac:dyDescent="0.3">
      <c r="A75" s="19">
        <v>67</v>
      </c>
      <c r="B75" s="20" t="s">
        <v>284</v>
      </c>
      <c r="C75" s="19" t="s">
        <v>213</v>
      </c>
      <c r="D75" s="22"/>
      <c r="E75" s="22"/>
      <c r="F75" s="22"/>
      <c r="G75" s="22"/>
      <c r="H75" s="22"/>
      <c r="I75" s="22"/>
      <c r="J75" s="22"/>
      <c r="K75" s="27">
        <f t="shared" si="2"/>
        <v>0</v>
      </c>
      <c r="M75" s="17"/>
    </row>
    <row r="76" spans="1:13" s="8" customFormat="1" ht="14.25" customHeight="1" x14ac:dyDescent="0.3">
      <c r="A76" s="19">
        <v>68</v>
      </c>
      <c r="B76" s="20" t="s">
        <v>69</v>
      </c>
      <c r="C76" s="19" t="s">
        <v>178</v>
      </c>
      <c r="D76" s="22">
        <v>0</v>
      </c>
      <c r="E76" s="22">
        <v>0</v>
      </c>
      <c r="F76" s="22">
        <v>0</v>
      </c>
      <c r="G76" s="22"/>
      <c r="H76" s="22"/>
      <c r="I76" s="22"/>
      <c r="J76" s="22"/>
      <c r="K76" s="27">
        <f t="shared" si="2"/>
        <v>0</v>
      </c>
      <c r="M76" s="17"/>
    </row>
    <row r="77" spans="1:13" s="8" customFormat="1" ht="14.25" customHeight="1" x14ac:dyDescent="0.3">
      <c r="A77" s="19">
        <v>69</v>
      </c>
      <c r="B77" s="20" t="s">
        <v>70</v>
      </c>
      <c r="C77" s="19" t="s">
        <v>192</v>
      </c>
      <c r="D77" s="22">
        <v>0</v>
      </c>
      <c r="E77" s="22"/>
      <c r="F77" s="22"/>
      <c r="G77" s="22"/>
      <c r="H77" s="22"/>
      <c r="I77" s="22">
        <v>22562.19</v>
      </c>
      <c r="J77" s="22"/>
      <c r="K77" s="27">
        <f t="shared" si="2"/>
        <v>22562.19</v>
      </c>
      <c r="M77" s="17"/>
    </row>
    <row r="78" spans="1:13" s="8" customFormat="1" ht="14.25" customHeight="1" x14ac:dyDescent="0.3">
      <c r="A78" s="19">
        <v>70</v>
      </c>
      <c r="B78" s="20" t="s">
        <v>71</v>
      </c>
      <c r="C78" s="19" t="s">
        <v>170</v>
      </c>
      <c r="D78" s="22">
        <v>0</v>
      </c>
      <c r="E78" s="22">
        <v>0</v>
      </c>
      <c r="F78" s="22"/>
      <c r="G78" s="22"/>
      <c r="H78" s="22"/>
      <c r="I78" s="22"/>
      <c r="J78" s="22"/>
      <c r="K78" s="27">
        <f t="shared" si="2"/>
        <v>0</v>
      </c>
      <c r="M78" s="17"/>
    </row>
    <row r="79" spans="1:13" s="8" customFormat="1" ht="14.25" customHeight="1" x14ac:dyDescent="0.3">
      <c r="A79" s="19">
        <v>70</v>
      </c>
      <c r="B79" s="20" t="s">
        <v>275</v>
      </c>
      <c r="C79" s="19" t="s">
        <v>276</v>
      </c>
      <c r="D79" s="22"/>
      <c r="E79" s="22"/>
      <c r="F79" s="22"/>
      <c r="G79" s="22"/>
      <c r="H79" s="22">
        <v>50114</v>
      </c>
      <c r="I79" s="22">
        <v>39800.5</v>
      </c>
      <c r="J79" s="22"/>
      <c r="K79" s="27">
        <f t="shared" si="2"/>
        <v>89914.5</v>
      </c>
      <c r="M79" s="17"/>
    </row>
    <row r="80" spans="1:13" s="8" customFormat="1" ht="14.25" customHeight="1" x14ac:dyDescent="0.3">
      <c r="A80" s="19">
        <v>71</v>
      </c>
      <c r="B80" s="20" t="s">
        <v>72</v>
      </c>
      <c r="C80" s="19" t="s">
        <v>205</v>
      </c>
      <c r="D80" s="22">
        <v>0</v>
      </c>
      <c r="E80" s="22">
        <v>0</v>
      </c>
      <c r="F80" s="22">
        <v>118760</v>
      </c>
      <c r="G80" s="22">
        <f>(82300+2750+1125+900+1125+1125+1125+1125+2750+2330+2525+1125+1125)</f>
        <v>101430</v>
      </c>
      <c r="H80" s="22">
        <f>(1125+1125+900+1125+2525+1125+1125+1125+1125+2330+1125+600+1125+6300+2105+1125+675)</f>
        <v>26685</v>
      </c>
      <c r="I80" s="22">
        <f>(900+1125+900+1125+1125+1125+900+900+1170+675+1350+900+675+2075+900+2300+675)</f>
        <v>18820</v>
      </c>
      <c r="J80" s="22">
        <f>(2300+675+2525+675+2300+900+900+900+675+2300+675+2300)</f>
        <v>17125</v>
      </c>
      <c r="K80" s="27">
        <f>(D80+E80+F80+G80+H80+I80+J80)</f>
        <v>282820</v>
      </c>
      <c r="M80" s="17"/>
    </row>
    <row r="81" spans="1:13" s="8" customFormat="1" ht="14.25" customHeight="1" x14ac:dyDescent="0.3">
      <c r="A81" s="19">
        <v>72</v>
      </c>
      <c r="B81" s="20" t="s">
        <v>73</v>
      </c>
      <c r="C81" s="19" t="s">
        <v>190</v>
      </c>
      <c r="D81" s="22">
        <v>158000</v>
      </c>
      <c r="E81" s="22">
        <v>0</v>
      </c>
      <c r="F81" s="22"/>
      <c r="G81" s="22"/>
      <c r="H81" s="22"/>
      <c r="I81" s="22"/>
      <c r="J81" s="22"/>
      <c r="K81" s="27">
        <f t="shared" ref="K81:K111" si="3">(D81+E81+F81+G81+H81+I81)</f>
        <v>158000</v>
      </c>
      <c r="M81" s="17"/>
    </row>
    <row r="82" spans="1:13" s="8" customFormat="1" ht="14.25" customHeight="1" x14ac:dyDescent="0.3">
      <c r="A82" s="19">
        <v>73</v>
      </c>
      <c r="B82" s="20" t="s">
        <v>74</v>
      </c>
      <c r="C82" s="19" t="s">
        <v>192</v>
      </c>
      <c r="D82" s="22">
        <v>220975</v>
      </c>
      <c r="E82" s="22">
        <v>0</v>
      </c>
      <c r="F82" s="22"/>
      <c r="G82" s="22"/>
      <c r="H82" s="22"/>
      <c r="I82" s="22"/>
      <c r="J82" s="22"/>
      <c r="K82" s="27">
        <f t="shared" si="3"/>
        <v>220975</v>
      </c>
      <c r="M82" s="17"/>
    </row>
    <row r="83" spans="1:13" s="8" customFormat="1" ht="14.25" customHeight="1" x14ac:dyDescent="0.3">
      <c r="A83" s="19">
        <v>74</v>
      </c>
      <c r="B83" s="20" t="s">
        <v>75</v>
      </c>
      <c r="C83" s="19" t="s">
        <v>206</v>
      </c>
      <c r="D83" s="22">
        <v>5392.6</v>
      </c>
      <c r="E83" s="22">
        <v>0</v>
      </c>
      <c r="F83" s="22">
        <v>0</v>
      </c>
      <c r="G83" s="22"/>
      <c r="H83" s="22"/>
      <c r="I83" s="22"/>
      <c r="J83" s="22"/>
      <c r="K83" s="27">
        <f t="shared" si="3"/>
        <v>5392.6</v>
      </c>
      <c r="M83" s="17"/>
    </row>
    <row r="84" spans="1:13" s="8" customFormat="1" ht="14.25" customHeight="1" x14ac:dyDescent="0.3">
      <c r="A84" s="19">
        <v>75</v>
      </c>
      <c r="B84" s="20" t="s">
        <v>76</v>
      </c>
      <c r="C84" s="19" t="s">
        <v>169</v>
      </c>
      <c r="D84" s="22"/>
      <c r="E84" s="22">
        <v>0</v>
      </c>
      <c r="F84" s="22">
        <v>0</v>
      </c>
      <c r="G84" s="22"/>
      <c r="H84" s="22"/>
      <c r="I84" s="22"/>
      <c r="J84" s="22"/>
      <c r="K84" s="27">
        <f t="shared" si="3"/>
        <v>0</v>
      </c>
      <c r="M84" s="17"/>
    </row>
    <row r="85" spans="1:13" s="8" customFormat="1" ht="14.25" customHeight="1" x14ac:dyDescent="0.3">
      <c r="A85" s="19">
        <v>76</v>
      </c>
      <c r="B85" s="20" t="s">
        <v>77</v>
      </c>
      <c r="C85" s="19" t="s">
        <v>174</v>
      </c>
      <c r="D85" s="22">
        <v>0</v>
      </c>
      <c r="E85" s="22">
        <v>0</v>
      </c>
      <c r="F85" s="22">
        <v>0</v>
      </c>
      <c r="G85" s="22"/>
      <c r="H85" s="22"/>
      <c r="I85" s="22"/>
      <c r="J85" s="22"/>
      <c r="K85" s="27">
        <f t="shared" si="3"/>
        <v>0</v>
      </c>
      <c r="M85" s="17"/>
    </row>
    <row r="86" spans="1:13" s="8" customFormat="1" ht="14.25" customHeight="1" x14ac:dyDescent="0.3">
      <c r="A86" s="19">
        <v>77</v>
      </c>
      <c r="B86" s="20" t="s">
        <v>78</v>
      </c>
      <c r="C86" s="19" t="s">
        <v>207</v>
      </c>
      <c r="D86" s="22">
        <v>2199.9899999999998</v>
      </c>
      <c r="E86" s="22">
        <v>0</v>
      </c>
      <c r="F86" s="22">
        <v>0</v>
      </c>
      <c r="G86" s="22"/>
      <c r="H86" s="22"/>
      <c r="I86" s="22"/>
      <c r="J86" s="22"/>
      <c r="K86" s="27">
        <f t="shared" si="3"/>
        <v>2199.9899999999998</v>
      </c>
      <c r="M86" s="17"/>
    </row>
    <row r="87" spans="1:13" s="8" customFormat="1" ht="14.25" customHeight="1" x14ac:dyDescent="0.3">
      <c r="A87" s="19">
        <v>78</v>
      </c>
      <c r="B87" s="20" t="s">
        <v>79</v>
      </c>
      <c r="C87" s="19" t="s">
        <v>170</v>
      </c>
      <c r="D87" s="22">
        <v>140820</v>
      </c>
      <c r="E87" s="22">
        <v>0</v>
      </c>
      <c r="F87" s="22">
        <v>0</v>
      </c>
      <c r="G87" s="22"/>
      <c r="H87" s="22"/>
      <c r="I87" s="22"/>
      <c r="J87" s="22"/>
      <c r="K87" s="27">
        <f t="shared" si="3"/>
        <v>140820</v>
      </c>
      <c r="M87" s="17"/>
    </row>
    <row r="88" spans="1:13" s="8" customFormat="1" ht="14.25" customHeight="1" x14ac:dyDescent="0.3">
      <c r="A88" s="19">
        <v>79</v>
      </c>
      <c r="B88" s="20" t="s">
        <v>277</v>
      </c>
      <c r="C88" s="19" t="s">
        <v>278</v>
      </c>
      <c r="D88" s="22"/>
      <c r="E88" s="22"/>
      <c r="F88" s="22"/>
      <c r="G88" s="22"/>
      <c r="H88" s="22"/>
      <c r="I88" s="22"/>
      <c r="J88" s="22"/>
      <c r="K88" s="27">
        <f t="shared" si="3"/>
        <v>0</v>
      </c>
      <c r="M88" s="17"/>
    </row>
    <row r="89" spans="1:13" s="8" customFormat="1" ht="14.25" customHeight="1" x14ac:dyDescent="0.3">
      <c r="A89" s="19">
        <v>80</v>
      </c>
      <c r="B89" s="20" t="s">
        <v>80</v>
      </c>
      <c r="C89" s="19" t="s">
        <v>179</v>
      </c>
      <c r="D89" s="22">
        <v>0</v>
      </c>
      <c r="E89" s="22">
        <v>0</v>
      </c>
      <c r="F89" s="22">
        <f>(37264.4+41300)</f>
        <v>78564.399999999994</v>
      </c>
      <c r="G89" s="22">
        <v>157176</v>
      </c>
      <c r="H89" s="22"/>
      <c r="I89" s="22"/>
      <c r="J89" s="22"/>
      <c r="K89" s="27">
        <f t="shared" si="3"/>
        <v>235740.4</v>
      </c>
      <c r="M89" s="17"/>
    </row>
    <row r="90" spans="1:13" s="8" customFormat="1" ht="14.25" customHeight="1" x14ac:dyDescent="0.3">
      <c r="A90" s="19">
        <v>81</v>
      </c>
      <c r="B90" s="20" t="s">
        <v>81</v>
      </c>
      <c r="C90" s="19" t="s">
        <v>208</v>
      </c>
      <c r="D90" s="22">
        <v>0</v>
      </c>
      <c r="E90" s="22">
        <v>369850</v>
      </c>
      <c r="F90" s="22"/>
      <c r="G90" s="22"/>
      <c r="H90" s="22"/>
      <c r="I90" s="22"/>
      <c r="J90" s="22"/>
      <c r="K90" s="27">
        <f t="shared" si="3"/>
        <v>369850</v>
      </c>
      <c r="M90" s="17"/>
    </row>
    <row r="91" spans="1:13" s="8" customFormat="1" ht="14.25" customHeight="1" x14ac:dyDescent="0.3">
      <c r="A91" s="19">
        <v>82</v>
      </c>
      <c r="B91" s="20" t="s">
        <v>259</v>
      </c>
      <c r="C91" s="19" t="s">
        <v>260</v>
      </c>
      <c r="D91" s="22"/>
      <c r="E91" s="22"/>
      <c r="F91" s="22"/>
      <c r="G91" s="22"/>
      <c r="H91" s="22"/>
      <c r="I91" s="22">
        <f>(49088+5782)</f>
        <v>54870</v>
      </c>
      <c r="J91" s="22"/>
      <c r="K91" s="27">
        <f t="shared" si="3"/>
        <v>54870</v>
      </c>
      <c r="M91" s="17"/>
    </row>
    <row r="92" spans="1:13" s="8" customFormat="1" ht="14.25" customHeight="1" x14ac:dyDescent="0.3">
      <c r="A92" s="19">
        <v>83</v>
      </c>
      <c r="B92" s="20" t="s">
        <v>82</v>
      </c>
      <c r="C92" s="19" t="s">
        <v>199</v>
      </c>
      <c r="D92" s="22">
        <v>0</v>
      </c>
      <c r="E92" s="22">
        <v>5645</v>
      </c>
      <c r="F92" s="22">
        <v>176570</v>
      </c>
      <c r="G92" s="22"/>
      <c r="H92" s="22"/>
      <c r="I92" s="22"/>
      <c r="J92" s="22"/>
      <c r="K92" s="27">
        <f t="shared" si="3"/>
        <v>182215</v>
      </c>
      <c r="M92" s="17"/>
    </row>
    <row r="93" spans="1:13" s="8" customFormat="1" ht="14.25" customHeight="1" x14ac:dyDescent="0.3">
      <c r="A93" s="19">
        <v>84</v>
      </c>
      <c r="B93" s="20" t="s">
        <v>83</v>
      </c>
      <c r="C93" s="19" t="s">
        <v>209</v>
      </c>
      <c r="D93" s="22">
        <v>3000</v>
      </c>
      <c r="E93" s="22"/>
      <c r="F93" s="22">
        <v>0</v>
      </c>
      <c r="G93" s="22"/>
      <c r="H93" s="22"/>
      <c r="I93" s="22"/>
      <c r="J93" s="22"/>
      <c r="K93" s="27">
        <f t="shared" si="3"/>
        <v>3000</v>
      </c>
      <c r="M93" s="17"/>
    </row>
    <row r="94" spans="1:13" s="8" customFormat="1" ht="14.25" customHeight="1" x14ac:dyDescent="0.3">
      <c r="A94" s="19">
        <v>85</v>
      </c>
      <c r="B94" s="20" t="s">
        <v>84</v>
      </c>
      <c r="C94" s="19" t="s">
        <v>210</v>
      </c>
      <c r="D94" s="22">
        <v>34900.379999999997</v>
      </c>
      <c r="E94" s="22"/>
      <c r="F94" s="22"/>
      <c r="G94" s="22"/>
      <c r="H94" s="22"/>
      <c r="I94" s="22"/>
      <c r="J94" s="22"/>
      <c r="K94" s="27">
        <f t="shared" si="3"/>
        <v>34900.379999999997</v>
      </c>
      <c r="M94" s="17"/>
    </row>
    <row r="95" spans="1:13" s="8" customFormat="1" ht="14.25" customHeight="1" x14ac:dyDescent="0.3">
      <c r="A95" s="19">
        <v>86</v>
      </c>
      <c r="B95" s="20" t="s">
        <v>267</v>
      </c>
      <c r="C95" s="19" t="s">
        <v>268</v>
      </c>
      <c r="D95" s="22"/>
      <c r="E95" s="22"/>
      <c r="F95" s="22">
        <v>18585</v>
      </c>
      <c r="G95" s="22"/>
      <c r="H95" s="22"/>
      <c r="I95" s="22"/>
      <c r="J95" s="22"/>
      <c r="K95" s="27">
        <f t="shared" si="3"/>
        <v>18585</v>
      </c>
      <c r="M95" s="17"/>
    </row>
    <row r="96" spans="1:13" s="8" customFormat="1" ht="14.25" customHeight="1" x14ac:dyDescent="0.3">
      <c r="A96" s="19">
        <v>87</v>
      </c>
      <c r="B96" s="20" t="s">
        <v>85</v>
      </c>
      <c r="C96" s="19" t="s">
        <v>179</v>
      </c>
      <c r="D96" s="22"/>
      <c r="E96" s="22">
        <v>0</v>
      </c>
      <c r="F96" s="22"/>
      <c r="G96" s="22"/>
      <c r="H96" s="22"/>
      <c r="I96" s="22"/>
      <c r="J96" s="22"/>
      <c r="K96" s="27">
        <f t="shared" si="3"/>
        <v>0</v>
      </c>
      <c r="M96" s="17"/>
    </row>
    <row r="97" spans="1:13" s="8" customFormat="1" ht="14.25" customHeight="1" x14ac:dyDescent="0.3">
      <c r="A97" s="19">
        <v>88</v>
      </c>
      <c r="B97" s="20" t="s">
        <v>261</v>
      </c>
      <c r="C97" s="19" t="s">
        <v>179</v>
      </c>
      <c r="D97" s="22"/>
      <c r="E97" s="22"/>
      <c r="F97" s="22"/>
      <c r="G97" s="22"/>
      <c r="H97" s="22">
        <v>378000</v>
      </c>
      <c r="I97" s="22"/>
      <c r="J97" s="22"/>
      <c r="K97" s="27">
        <f t="shared" si="3"/>
        <v>378000</v>
      </c>
      <c r="M97" s="17"/>
    </row>
    <row r="98" spans="1:13" s="8" customFormat="1" ht="14.25" customHeight="1" x14ac:dyDescent="0.3">
      <c r="A98" s="19">
        <v>89</v>
      </c>
      <c r="B98" s="20" t="s">
        <v>86</v>
      </c>
      <c r="C98" s="19" t="s">
        <v>173</v>
      </c>
      <c r="D98" s="22">
        <v>68853</v>
      </c>
      <c r="E98" s="22">
        <v>0</v>
      </c>
      <c r="F98" s="22">
        <v>0</v>
      </c>
      <c r="G98" s="22"/>
      <c r="H98" s="22"/>
      <c r="I98" s="22"/>
      <c r="J98" s="22"/>
      <c r="K98" s="27">
        <f t="shared" si="3"/>
        <v>68853</v>
      </c>
      <c r="M98" s="17"/>
    </row>
    <row r="99" spans="1:13" s="8" customFormat="1" ht="14.25" customHeight="1" x14ac:dyDescent="0.3">
      <c r="A99" s="19">
        <v>90</v>
      </c>
      <c r="B99" s="20" t="s">
        <v>87</v>
      </c>
      <c r="C99" s="19" t="s">
        <v>211</v>
      </c>
      <c r="D99" s="22">
        <v>105320.16</v>
      </c>
      <c r="E99" s="22">
        <v>0</v>
      </c>
      <c r="F99" s="22"/>
      <c r="G99" s="22"/>
      <c r="H99" s="22"/>
      <c r="I99" s="22"/>
      <c r="J99" s="22"/>
      <c r="K99" s="27">
        <f t="shared" si="3"/>
        <v>105320.16</v>
      </c>
      <c r="M99" s="17"/>
    </row>
    <row r="100" spans="1:13" s="8" customFormat="1" ht="14.25" customHeight="1" x14ac:dyDescent="0.3">
      <c r="A100" s="19">
        <v>91</v>
      </c>
      <c r="B100" s="20" t="s">
        <v>88</v>
      </c>
      <c r="C100" s="19" t="s">
        <v>179</v>
      </c>
      <c r="D100" s="22">
        <v>107700</v>
      </c>
      <c r="E100" s="22"/>
      <c r="F100" s="22">
        <v>0</v>
      </c>
      <c r="G100" s="22"/>
      <c r="H100" s="22"/>
      <c r="I100" s="22"/>
      <c r="J100" s="22"/>
      <c r="K100" s="27">
        <f t="shared" si="3"/>
        <v>107700</v>
      </c>
      <c r="M100" s="17"/>
    </row>
    <row r="101" spans="1:13" s="8" customFormat="1" ht="14.25" customHeight="1" x14ac:dyDescent="0.3">
      <c r="A101" s="19">
        <v>92</v>
      </c>
      <c r="B101" s="20" t="s">
        <v>89</v>
      </c>
      <c r="C101" s="31" t="s">
        <v>212</v>
      </c>
      <c r="D101" s="22"/>
      <c r="E101" s="22">
        <v>0</v>
      </c>
      <c r="F101" s="22"/>
      <c r="G101" s="22"/>
      <c r="H101" s="22"/>
      <c r="I101" s="22"/>
      <c r="J101" s="22"/>
      <c r="K101" s="27">
        <f t="shared" si="3"/>
        <v>0</v>
      </c>
      <c r="M101" s="17"/>
    </row>
    <row r="102" spans="1:13" s="8" customFormat="1" ht="14.25" customHeight="1" x14ac:dyDescent="0.3">
      <c r="A102" s="19">
        <v>93</v>
      </c>
      <c r="B102" s="20" t="s">
        <v>90</v>
      </c>
      <c r="C102" s="19" t="s">
        <v>179</v>
      </c>
      <c r="D102" s="22">
        <v>373540</v>
      </c>
      <c r="E102" s="22">
        <v>0</v>
      </c>
      <c r="F102" s="22">
        <v>0</v>
      </c>
      <c r="G102" s="22"/>
      <c r="H102" s="22"/>
      <c r="I102" s="22"/>
      <c r="J102" s="22"/>
      <c r="K102" s="27">
        <f t="shared" si="3"/>
        <v>373540</v>
      </c>
      <c r="M102" s="17"/>
    </row>
    <row r="103" spans="1:13" s="8" customFormat="1" ht="14.25" customHeight="1" x14ac:dyDescent="0.3">
      <c r="A103" s="19">
        <v>94</v>
      </c>
      <c r="B103" s="20" t="s">
        <v>91</v>
      </c>
      <c r="C103" s="19" t="s">
        <v>184</v>
      </c>
      <c r="D103" s="22">
        <v>40500.49</v>
      </c>
      <c r="E103" s="22">
        <v>0</v>
      </c>
      <c r="F103" s="22"/>
      <c r="G103" s="22"/>
      <c r="H103" s="22"/>
      <c r="I103" s="22"/>
      <c r="J103" s="22"/>
      <c r="K103" s="27">
        <f t="shared" si="3"/>
        <v>40500.49</v>
      </c>
      <c r="M103" s="17"/>
    </row>
    <row r="104" spans="1:13" s="8" customFormat="1" ht="14.25" customHeight="1" x14ac:dyDescent="0.3">
      <c r="A104" s="19">
        <v>95</v>
      </c>
      <c r="B104" s="20" t="s">
        <v>92</v>
      </c>
      <c r="C104" s="19" t="s">
        <v>179</v>
      </c>
      <c r="D104" s="22">
        <v>0</v>
      </c>
      <c r="E104" s="22">
        <v>0</v>
      </c>
      <c r="F104" s="22">
        <v>306200</v>
      </c>
      <c r="G104" s="22"/>
      <c r="H104" s="22"/>
      <c r="I104" s="22">
        <f>(157800+83262+190020)</f>
        <v>431082</v>
      </c>
      <c r="J104" s="22">
        <f>(107285+154419)</f>
        <v>261704</v>
      </c>
      <c r="K104" s="27">
        <f>(D104+E104+F104+G104+H104+I104+J104)</f>
        <v>998986</v>
      </c>
      <c r="M104" s="17"/>
    </row>
    <row r="105" spans="1:13" s="8" customFormat="1" ht="14.25" customHeight="1" x14ac:dyDescent="0.3">
      <c r="A105" s="19">
        <v>96</v>
      </c>
      <c r="B105" s="20" t="s">
        <v>93</v>
      </c>
      <c r="C105" s="19" t="s">
        <v>179</v>
      </c>
      <c r="D105" s="22">
        <v>0</v>
      </c>
      <c r="E105" s="22">
        <v>0</v>
      </c>
      <c r="F105" s="22"/>
      <c r="G105" s="22"/>
      <c r="H105" s="22">
        <f>(46365.25+149625)</f>
        <v>195990.25</v>
      </c>
      <c r="I105" s="22">
        <f>(149625+149625+69978.15+69978.15)</f>
        <v>439206.30000000005</v>
      </c>
      <c r="J105" s="22"/>
      <c r="K105" s="27">
        <f t="shared" si="3"/>
        <v>635196.55000000005</v>
      </c>
      <c r="M105" s="17"/>
    </row>
    <row r="106" spans="1:13" s="8" customFormat="1" ht="14.25" customHeight="1" x14ac:dyDescent="0.3">
      <c r="A106" s="19">
        <v>97</v>
      </c>
      <c r="B106" s="20" t="s">
        <v>94</v>
      </c>
      <c r="C106" s="19" t="s">
        <v>213</v>
      </c>
      <c r="D106" s="22">
        <v>0</v>
      </c>
      <c r="E106" s="22">
        <v>0</v>
      </c>
      <c r="F106" s="22"/>
      <c r="G106" s="22"/>
      <c r="H106" s="22">
        <f>(29053.75+439943.71)</f>
        <v>468997.46</v>
      </c>
      <c r="I106" s="22">
        <f>(25673.16+400638.08+368364+10019.97+25167.1+31999.21+20641.8+14750.06+5995.1+20852.29+1712.12+27953.22+25804.68+9399.88+388470.27+20642.8+20957.03+16764.68+21507.59+28503.79+25699.94+421552.93)</f>
        <v>1933069.7</v>
      </c>
      <c r="J106" s="22">
        <f>(10011.12+36266.44+2539.29+1701.89+40418.89)</f>
        <v>90937.63</v>
      </c>
      <c r="K106" s="27">
        <f>(D106+E106+F106+G106+H106+I106+J106)</f>
        <v>2493004.79</v>
      </c>
      <c r="M106" s="17"/>
    </row>
    <row r="107" spans="1:13" s="8" customFormat="1" ht="14.25" customHeight="1" x14ac:dyDescent="0.3">
      <c r="A107" s="19">
        <v>98</v>
      </c>
      <c r="B107" s="20" t="s">
        <v>95</v>
      </c>
      <c r="C107" s="19" t="s">
        <v>179</v>
      </c>
      <c r="D107" s="22">
        <v>155510.20000000001</v>
      </c>
      <c r="E107" s="22"/>
      <c r="F107" s="22"/>
      <c r="G107" s="22"/>
      <c r="H107" s="22"/>
      <c r="I107" s="22"/>
      <c r="J107" s="22"/>
      <c r="K107" s="27">
        <f t="shared" si="3"/>
        <v>155510.20000000001</v>
      </c>
      <c r="M107" s="17"/>
    </row>
    <row r="108" spans="1:13" s="8" customFormat="1" ht="14.25" customHeight="1" x14ac:dyDescent="0.3">
      <c r="A108" s="19">
        <v>99</v>
      </c>
      <c r="B108" s="20" t="s">
        <v>96</v>
      </c>
      <c r="C108" s="19" t="s">
        <v>179</v>
      </c>
      <c r="D108" s="22">
        <v>238266.12</v>
      </c>
      <c r="E108" s="22"/>
      <c r="F108" s="22"/>
      <c r="G108" s="22"/>
      <c r="H108" s="22"/>
      <c r="I108" s="22"/>
      <c r="J108" s="22"/>
      <c r="K108" s="27">
        <f t="shared" si="3"/>
        <v>238266.12</v>
      </c>
      <c r="M108" s="17"/>
    </row>
    <row r="109" spans="1:13" s="8" customFormat="1" ht="14.25" customHeight="1" x14ac:dyDescent="0.3">
      <c r="A109" s="19">
        <v>100</v>
      </c>
      <c r="B109" s="20" t="s">
        <v>97</v>
      </c>
      <c r="C109" s="19" t="s">
        <v>172</v>
      </c>
      <c r="D109" s="22"/>
      <c r="E109" s="22"/>
      <c r="F109" s="22"/>
      <c r="G109" s="22"/>
      <c r="H109" s="22"/>
      <c r="I109" s="22"/>
      <c r="J109" s="22"/>
      <c r="K109" s="27">
        <f t="shared" si="3"/>
        <v>0</v>
      </c>
      <c r="M109" s="17"/>
    </row>
    <row r="110" spans="1:13" s="8" customFormat="1" ht="14.25" customHeight="1" x14ac:dyDescent="0.3">
      <c r="A110" s="19">
        <v>101</v>
      </c>
      <c r="B110" s="20" t="s">
        <v>98</v>
      </c>
      <c r="C110" s="19" t="s">
        <v>214</v>
      </c>
      <c r="D110" s="22"/>
      <c r="E110" s="22">
        <v>0</v>
      </c>
      <c r="F110" s="22"/>
      <c r="G110" s="22"/>
      <c r="H110" s="22"/>
      <c r="I110" s="22">
        <v>122550</v>
      </c>
      <c r="J110" s="22"/>
      <c r="K110" s="27">
        <f t="shared" si="3"/>
        <v>122550</v>
      </c>
      <c r="M110" s="17"/>
    </row>
    <row r="111" spans="1:13" s="8" customFormat="1" ht="14.25" customHeight="1" x14ac:dyDescent="0.3">
      <c r="A111" s="19">
        <v>102</v>
      </c>
      <c r="B111" s="20" t="s">
        <v>99</v>
      </c>
      <c r="C111" s="19" t="s">
        <v>215</v>
      </c>
      <c r="D111" s="22"/>
      <c r="E111" s="22">
        <v>0</v>
      </c>
      <c r="F111" s="22"/>
      <c r="G111" s="22">
        <v>129780</v>
      </c>
      <c r="H111" s="22">
        <f>(130925+119970)</f>
        <v>250895</v>
      </c>
      <c r="I111" s="22">
        <f>(138985+14800)</f>
        <v>153785</v>
      </c>
      <c r="J111" s="22"/>
      <c r="K111" s="27">
        <f t="shared" si="3"/>
        <v>534460</v>
      </c>
      <c r="M111" s="17"/>
    </row>
    <row r="112" spans="1:13" s="8" customFormat="1" ht="14.25" customHeight="1" x14ac:dyDescent="0.3">
      <c r="A112" s="19">
        <v>103</v>
      </c>
      <c r="B112" s="20" t="s">
        <v>100</v>
      </c>
      <c r="C112" s="19" t="s">
        <v>176</v>
      </c>
      <c r="D112" s="22"/>
      <c r="E112" s="22">
        <v>0</v>
      </c>
      <c r="F112" s="22">
        <f>(17500+22000+46000+69000+115000+92000+92000+119500)</f>
        <v>573000</v>
      </c>
      <c r="G112" s="22">
        <f>(115000+23000)</f>
        <v>138000</v>
      </c>
      <c r="H112" s="22">
        <f>(23000+23000+23000+23000+23000+23000)</f>
        <v>138000</v>
      </c>
      <c r="I112" s="22">
        <f>(23000+23000+23000+23000+23000)</f>
        <v>115000</v>
      </c>
      <c r="J112" s="22">
        <f>(23000+23000+23000+23000+6000)</f>
        <v>98000</v>
      </c>
      <c r="K112" s="27">
        <f>(D112+E112+F112+G112+H112+I112+J112)</f>
        <v>1062000</v>
      </c>
      <c r="L112" s="32"/>
      <c r="M112" s="17"/>
    </row>
    <row r="113" spans="1:13" s="8" customFormat="1" ht="14.25" customHeight="1" x14ac:dyDescent="0.3">
      <c r="A113" s="19">
        <v>104</v>
      </c>
      <c r="B113" s="20" t="s">
        <v>101</v>
      </c>
      <c r="C113" s="19" t="s">
        <v>216</v>
      </c>
      <c r="D113" s="22">
        <v>1371191.2</v>
      </c>
      <c r="E113" s="22">
        <v>0</v>
      </c>
      <c r="F113" s="22"/>
      <c r="G113" s="22"/>
      <c r="H113" s="22"/>
      <c r="I113" s="22"/>
      <c r="J113" s="22"/>
      <c r="K113" s="27">
        <f t="shared" ref="K113:K144" si="4">(D113+E113+F113+G113+H113+I113)</f>
        <v>1371191.2</v>
      </c>
      <c r="M113" s="17"/>
    </row>
    <row r="114" spans="1:13" s="8" customFormat="1" ht="14.25" customHeight="1" x14ac:dyDescent="0.3">
      <c r="A114" s="19">
        <v>105</v>
      </c>
      <c r="B114" s="20" t="s">
        <v>102</v>
      </c>
      <c r="C114" s="19" t="s">
        <v>179</v>
      </c>
      <c r="D114" s="33">
        <v>84544</v>
      </c>
      <c r="E114" s="22">
        <v>0</v>
      </c>
      <c r="F114" s="22"/>
      <c r="G114" s="22"/>
      <c r="H114" s="22"/>
      <c r="I114" s="22"/>
      <c r="J114" s="22"/>
      <c r="K114" s="27">
        <f t="shared" si="4"/>
        <v>84544</v>
      </c>
      <c r="M114" s="17"/>
    </row>
    <row r="115" spans="1:13" s="8" customFormat="1" ht="14.25" customHeight="1" x14ac:dyDescent="0.3">
      <c r="A115" s="19">
        <v>105</v>
      </c>
      <c r="B115" s="20" t="s">
        <v>103</v>
      </c>
      <c r="C115" s="19" t="s">
        <v>179</v>
      </c>
      <c r="D115" s="22">
        <v>3400.05</v>
      </c>
      <c r="E115" s="22">
        <v>0</v>
      </c>
      <c r="F115" s="22">
        <v>0</v>
      </c>
      <c r="G115" s="22"/>
      <c r="H115" s="22"/>
      <c r="I115" s="22"/>
      <c r="J115" s="22"/>
      <c r="K115" s="27">
        <f t="shared" si="4"/>
        <v>3400.05</v>
      </c>
      <c r="M115" s="17"/>
    </row>
    <row r="116" spans="1:13" s="8" customFormat="1" ht="14.25" customHeight="1" x14ac:dyDescent="0.3">
      <c r="A116" s="19">
        <v>106</v>
      </c>
      <c r="B116" s="20" t="s">
        <v>104</v>
      </c>
      <c r="C116" s="19" t="s">
        <v>217</v>
      </c>
      <c r="D116" s="22">
        <v>0</v>
      </c>
      <c r="E116" s="22">
        <v>0</v>
      </c>
      <c r="F116" s="22">
        <v>0</v>
      </c>
      <c r="G116" s="22"/>
      <c r="H116" s="22"/>
      <c r="I116" s="22"/>
      <c r="J116" s="22"/>
      <c r="K116" s="27">
        <f t="shared" si="4"/>
        <v>0</v>
      </c>
      <c r="M116" s="17"/>
    </row>
    <row r="117" spans="1:13" s="8" customFormat="1" ht="14.25" customHeight="1" x14ac:dyDescent="0.3">
      <c r="A117" s="19">
        <v>107</v>
      </c>
      <c r="B117" s="20" t="s">
        <v>105</v>
      </c>
      <c r="C117" s="19" t="s">
        <v>197</v>
      </c>
      <c r="D117" s="22">
        <v>188100</v>
      </c>
      <c r="E117" s="22">
        <v>0</v>
      </c>
      <c r="F117" s="22">
        <v>0</v>
      </c>
      <c r="G117" s="22"/>
      <c r="H117" s="22"/>
      <c r="I117" s="22"/>
      <c r="J117" s="22"/>
      <c r="K117" s="27">
        <f t="shared" si="4"/>
        <v>188100</v>
      </c>
      <c r="M117" s="17"/>
    </row>
    <row r="118" spans="1:13" s="8" customFormat="1" ht="14.25" customHeight="1" x14ac:dyDescent="0.3">
      <c r="A118" s="19">
        <v>107</v>
      </c>
      <c r="B118" s="20" t="s">
        <v>106</v>
      </c>
      <c r="C118" s="19" t="s">
        <v>179</v>
      </c>
      <c r="D118" s="22">
        <v>0</v>
      </c>
      <c r="E118" s="22">
        <v>0</v>
      </c>
      <c r="F118" s="22"/>
      <c r="G118" s="22">
        <f>(102774+108859)</f>
        <v>211633</v>
      </c>
      <c r="H118" s="22">
        <v>32840</v>
      </c>
      <c r="I118" s="22">
        <f>(86572.4+61600)</f>
        <v>148172.4</v>
      </c>
      <c r="J118" s="22"/>
      <c r="K118" s="27">
        <f t="shared" si="4"/>
        <v>392645.4</v>
      </c>
      <c r="M118" s="17"/>
    </row>
    <row r="119" spans="1:13" s="8" customFormat="1" ht="14.25" customHeight="1" x14ac:dyDescent="0.3">
      <c r="A119" s="19">
        <v>108</v>
      </c>
      <c r="B119" s="20" t="s">
        <v>107</v>
      </c>
      <c r="C119" s="19" t="s">
        <v>218</v>
      </c>
      <c r="D119" s="22">
        <v>0</v>
      </c>
      <c r="E119" s="22">
        <v>0</v>
      </c>
      <c r="F119" s="22">
        <v>0</v>
      </c>
      <c r="G119" s="22"/>
      <c r="H119" s="22"/>
      <c r="I119" s="22"/>
      <c r="J119" s="22"/>
      <c r="K119" s="27">
        <f t="shared" si="4"/>
        <v>0</v>
      </c>
      <c r="M119" s="17"/>
    </row>
    <row r="120" spans="1:13" s="8" customFormat="1" ht="14.25" customHeight="1" x14ac:dyDescent="0.3">
      <c r="A120" s="19">
        <v>109</v>
      </c>
      <c r="B120" s="20" t="s">
        <v>257</v>
      </c>
      <c r="C120" s="19" t="s">
        <v>197</v>
      </c>
      <c r="D120" s="22"/>
      <c r="E120" s="22"/>
      <c r="F120" s="22"/>
      <c r="G120" s="34"/>
      <c r="H120" s="22"/>
      <c r="I120" s="22">
        <v>121245</v>
      </c>
      <c r="J120" s="22"/>
      <c r="K120" s="27">
        <f t="shared" si="4"/>
        <v>121245</v>
      </c>
      <c r="M120" s="17"/>
    </row>
    <row r="121" spans="1:13" s="8" customFormat="1" ht="14.25" customHeight="1" x14ac:dyDescent="0.3">
      <c r="A121" s="19">
        <v>110</v>
      </c>
      <c r="B121" s="20" t="s">
        <v>108</v>
      </c>
      <c r="C121" s="19" t="s">
        <v>179</v>
      </c>
      <c r="D121" s="22">
        <v>0</v>
      </c>
      <c r="E121" s="22">
        <v>0</v>
      </c>
      <c r="F121" s="22">
        <f>(90207+138300+109692.8+96800+145972+82876)</f>
        <v>663847.80000000005</v>
      </c>
      <c r="G121" s="22"/>
      <c r="H121" s="22"/>
      <c r="I121" s="22"/>
      <c r="J121" s="22"/>
      <c r="K121" s="27">
        <f t="shared" si="4"/>
        <v>663847.80000000005</v>
      </c>
      <c r="M121" s="17"/>
    </row>
    <row r="122" spans="1:13" s="8" customFormat="1" ht="14.25" customHeight="1" x14ac:dyDescent="0.3">
      <c r="A122" s="19">
        <v>112</v>
      </c>
      <c r="B122" s="20" t="s">
        <v>109</v>
      </c>
      <c r="C122" s="19" t="s">
        <v>219</v>
      </c>
      <c r="D122" s="22">
        <v>0</v>
      </c>
      <c r="E122" s="22">
        <v>0</v>
      </c>
      <c r="F122" s="22"/>
      <c r="G122" s="22"/>
      <c r="H122" s="22"/>
      <c r="I122" s="22"/>
      <c r="J122" s="22"/>
      <c r="K122" s="27">
        <f t="shared" si="4"/>
        <v>0</v>
      </c>
      <c r="M122" s="17"/>
    </row>
    <row r="123" spans="1:13" s="8" customFormat="1" ht="14.25" customHeight="1" x14ac:dyDescent="0.3">
      <c r="A123" s="19">
        <v>113</v>
      </c>
      <c r="B123" s="20" t="s">
        <v>110</v>
      </c>
      <c r="C123" s="19" t="s">
        <v>217</v>
      </c>
      <c r="D123" s="22">
        <v>2300461.92</v>
      </c>
      <c r="E123" s="22">
        <v>0</v>
      </c>
      <c r="F123" s="22"/>
      <c r="G123" s="22"/>
      <c r="H123" s="22"/>
      <c r="I123" s="22"/>
      <c r="J123" s="22"/>
      <c r="K123" s="27">
        <f t="shared" si="4"/>
        <v>2300461.92</v>
      </c>
      <c r="M123" s="17"/>
    </row>
    <row r="124" spans="1:13" s="8" customFormat="1" ht="14.25" customHeight="1" x14ac:dyDescent="0.3">
      <c r="A124" s="19">
        <v>114</v>
      </c>
      <c r="B124" s="20" t="s">
        <v>111</v>
      </c>
      <c r="C124" s="19" t="s">
        <v>220</v>
      </c>
      <c r="D124" s="22">
        <v>28020</v>
      </c>
      <c r="E124" s="22">
        <v>0</v>
      </c>
      <c r="F124" s="22"/>
      <c r="G124" s="22"/>
      <c r="H124" s="22"/>
      <c r="I124" s="22"/>
      <c r="J124" s="22"/>
      <c r="K124" s="27">
        <f t="shared" si="4"/>
        <v>28020</v>
      </c>
      <c r="M124" s="17"/>
    </row>
    <row r="125" spans="1:13" s="8" customFormat="1" ht="14.25" customHeight="1" x14ac:dyDescent="0.3">
      <c r="A125" s="19">
        <v>115</v>
      </c>
      <c r="B125" s="20" t="s">
        <v>112</v>
      </c>
      <c r="C125" s="19"/>
      <c r="D125" s="22">
        <v>0</v>
      </c>
      <c r="E125" s="22">
        <v>0</v>
      </c>
      <c r="F125" s="22">
        <v>0</v>
      </c>
      <c r="G125" s="22"/>
      <c r="H125" s="22"/>
      <c r="I125" s="22"/>
      <c r="J125" s="22"/>
      <c r="K125" s="27">
        <f t="shared" si="4"/>
        <v>0</v>
      </c>
      <c r="M125" s="17"/>
    </row>
    <row r="126" spans="1:13" s="8" customFormat="1" ht="14.25" customHeight="1" x14ac:dyDescent="0.3">
      <c r="A126" s="19">
        <v>116</v>
      </c>
      <c r="B126" s="20" t="s">
        <v>113</v>
      </c>
      <c r="C126" s="19" t="s">
        <v>221</v>
      </c>
      <c r="D126" s="22">
        <v>130224.8</v>
      </c>
      <c r="E126" s="22">
        <v>0</v>
      </c>
      <c r="F126" s="22">
        <v>284451</v>
      </c>
      <c r="G126" s="22">
        <v>133517</v>
      </c>
      <c r="H126" s="22">
        <f>(152515+30090+3835)</f>
        <v>186440</v>
      </c>
      <c r="I126" s="22">
        <v>154698</v>
      </c>
      <c r="J126" s="22"/>
      <c r="K126" s="27">
        <f t="shared" si="4"/>
        <v>889330.8</v>
      </c>
      <c r="M126" s="17"/>
    </row>
    <row r="127" spans="1:13" s="8" customFormat="1" ht="14.25" customHeight="1" x14ac:dyDescent="0.3">
      <c r="A127" s="19">
        <v>117</v>
      </c>
      <c r="B127" s="20" t="s">
        <v>114</v>
      </c>
      <c r="C127" s="19" t="s">
        <v>168</v>
      </c>
      <c r="D127" s="22">
        <v>327450</v>
      </c>
      <c r="E127" s="22">
        <v>0</v>
      </c>
      <c r="F127" s="22">
        <v>0</v>
      </c>
      <c r="G127" s="22"/>
      <c r="H127" s="22"/>
      <c r="I127" s="22"/>
      <c r="J127" s="22"/>
      <c r="K127" s="27">
        <f t="shared" si="4"/>
        <v>327450</v>
      </c>
      <c r="M127" s="17"/>
    </row>
    <row r="128" spans="1:13" s="8" customFormat="1" ht="14.25" customHeight="1" x14ac:dyDescent="0.3">
      <c r="A128" s="19">
        <v>118</v>
      </c>
      <c r="B128" s="20" t="s">
        <v>115</v>
      </c>
      <c r="C128" s="19" t="s">
        <v>168</v>
      </c>
      <c r="D128" s="22">
        <v>362225</v>
      </c>
      <c r="E128" s="22">
        <v>0</v>
      </c>
      <c r="F128" s="22"/>
      <c r="G128" s="22"/>
      <c r="H128" s="22"/>
      <c r="I128" s="22"/>
      <c r="J128" s="22"/>
      <c r="K128" s="27">
        <f t="shared" si="4"/>
        <v>362225</v>
      </c>
      <c r="M128" s="17"/>
    </row>
    <row r="129" spans="1:14" s="8" customFormat="1" ht="14.25" customHeight="1" x14ac:dyDescent="0.3">
      <c r="A129" s="19">
        <v>119</v>
      </c>
      <c r="B129" s="20" t="s">
        <v>116</v>
      </c>
      <c r="C129" s="19" t="s">
        <v>222</v>
      </c>
      <c r="D129" s="22">
        <v>1108434.75</v>
      </c>
      <c r="E129" s="22">
        <v>0</v>
      </c>
      <c r="F129" s="22">
        <v>0</v>
      </c>
      <c r="G129" s="22"/>
      <c r="H129" s="22"/>
      <c r="I129" s="22"/>
      <c r="J129" s="22"/>
      <c r="K129" s="27">
        <f t="shared" si="4"/>
        <v>1108434.75</v>
      </c>
      <c r="M129" s="17"/>
    </row>
    <row r="130" spans="1:14" s="8" customFormat="1" ht="14.25" customHeight="1" x14ac:dyDescent="0.3">
      <c r="A130" s="19">
        <v>120</v>
      </c>
      <c r="B130" s="20" t="s">
        <v>117</v>
      </c>
      <c r="C130" s="19" t="s">
        <v>184</v>
      </c>
      <c r="D130" s="22">
        <v>4372121.7</v>
      </c>
      <c r="E130" s="22">
        <v>0</v>
      </c>
      <c r="F130" s="22"/>
      <c r="G130" s="22"/>
      <c r="H130" s="22"/>
      <c r="I130" s="22"/>
      <c r="J130" s="22"/>
      <c r="K130" s="27">
        <f t="shared" si="4"/>
        <v>4372121.7</v>
      </c>
      <c r="M130" s="17"/>
    </row>
    <row r="131" spans="1:14" s="8" customFormat="1" ht="14.25" customHeight="1" x14ac:dyDescent="0.3">
      <c r="A131" s="19">
        <v>121</v>
      </c>
      <c r="B131" s="20" t="s">
        <v>118</v>
      </c>
      <c r="C131" s="19" t="s">
        <v>179</v>
      </c>
      <c r="D131" s="22">
        <v>0</v>
      </c>
      <c r="E131" s="22">
        <v>0</v>
      </c>
      <c r="F131" s="22">
        <f>(159659.9+134844+154164)</f>
        <v>448667.9</v>
      </c>
      <c r="G131" s="22">
        <f>(114300.7+156900)</f>
        <v>271200.7</v>
      </c>
      <c r="H131" s="22">
        <v>151128</v>
      </c>
      <c r="I131" s="22">
        <f>(162500+50000)</f>
        <v>212500</v>
      </c>
      <c r="J131" s="22">
        <f>(39000+189250)</f>
        <v>228250</v>
      </c>
      <c r="K131" s="27">
        <f>(D131+E131+F131+G131+H131+I131+J131)</f>
        <v>1311746.6000000001</v>
      </c>
      <c r="M131" s="17"/>
      <c r="N131" s="35"/>
    </row>
    <row r="132" spans="1:14" s="8" customFormat="1" ht="14.25" customHeight="1" x14ac:dyDescent="0.3">
      <c r="A132" s="19">
        <v>122</v>
      </c>
      <c r="B132" s="20" t="s">
        <v>266</v>
      </c>
      <c r="C132" s="19" t="s">
        <v>198</v>
      </c>
      <c r="D132" s="22"/>
      <c r="E132" s="22"/>
      <c r="F132" s="22"/>
      <c r="G132" s="22"/>
      <c r="H132" s="22">
        <v>12129.5</v>
      </c>
      <c r="I132" s="22"/>
      <c r="J132" s="22"/>
      <c r="K132" s="27">
        <f t="shared" si="4"/>
        <v>12129.5</v>
      </c>
      <c r="M132" s="17"/>
      <c r="N132" s="35"/>
    </row>
    <row r="133" spans="1:14" s="8" customFormat="1" ht="14.25" customHeight="1" x14ac:dyDescent="0.3">
      <c r="A133" s="19">
        <v>123</v>
      </c>
      <c r="B133" s="20" t="s">
        <v>119</v>
      </c>
      <c r="C133" s="19" t="s">
        <v>223</v>
      </c>
      <c r="D133" s="22">
        <v>0</v>
      </c>
      <c r="E133" s="22">
        <v>0</v>
      </c>
      <c r="F133" s="22">
        <v>97069.72</v>
      </c>
      <c r="G133" s="22"/>
      <c r="H133" s="22"/>
      <c r="I133" s="22"/>
      <c r="J133" s="22"/>
      <c r="K133" s="27">
        <f t="shared" si="4"/>
        <v>97069.72</v>
      </c>
      <c r="M133" s="17"/>
    </row>
    <row r="134" spans="1:14" s="8" customFormat="1" ht="14.25" customHeight="1" x14ac:dyDescent="0.3">
      <c r="A134" s="19">
        <v>124</v>
      </c>
      <c r="B134" s="20" t="s">
        <v>120</v>
      </c>
      <c r="C134" s="19" t="s">
        <v>224</v>
      </c>
      <c r="D134" s="22">
        <v>0</v>
      </c>
      <c r="E134" s="22">
        <v>0</v>
      </c>
      <c r="F134" s="22"/>
      <c r="G134" s="22">
        <f>(64900+42114.2)</f>
        <v>107014.2</v>
      </c>
      <c r="H134" s="22"/>
      <c r="I134" s="22">
        <v>75469.259999999995</v>
      </c>
      <c r="J134" s="22"/>
      <c r="K134" s="27">
        <f t="shared" si="4"/>
        <v>182483.46</v>
      </c>
      <c r="M134" s="17"/>
    </row>
    <row r="135" spans="1:14" s="8" customFormat="1" ht="14.25" customHeight="1" x14ac:dyDescent="0.3">
      <c r="A135" s="19">
        <v>125</v>
      </c>
      <c r="B135" s="20" t="s">
        <v>121</v>
      </c>
      <c r="C135" s="19" t="s">
        <v>225</v>
      </c>
      <c r="D135" s="21">
        <v>1297700</v>
      </c>
      <c r="E135" s="22">
        <v>0</v>
      </c>
      <c r="F135" s="22">
        <v>22000</v>
      </c>
      <c r="G135" s="22"/>
      <c r="H135" s="22"/>
      <c r="I135" s="22"/>
      <c r="J135" s="22"/>
      <c r="K135" s="27">
        <f t="shared" si="4"/>
        <v>1319700</v>
      </c>
      <c r="M135" s="17"/>
    </row>
    <row r="136" spans="1:14" s="8" customFormat="1" ht="14.25" customHeight="1" x14ac:dyDescent="0.3">
      <c r="A136" s="19">
        <v>126</v>
      </c>
      <c r="B136" s="20" t="s">
        <v>122</v>
      </c>
      <c r="C136" s="19" t="s">
        <v>169</v>
      </c>
      <c r="D136" s="22">
        <v>0</v>
      </c>
      <c r="E136" s="22">
        <v>0</v>
      </c>
      <c r="F136" s="22"/>
      <c r="G136" s="22"/>
      <c r="H136" s="22"/>
      <c r="I136" s="22"/>
      <c r="J136" s="22"/>
      <c r="K136" s="27">
        <f t="shared" si="4"/>
        <v>0</v>
      </c>
      <c r="M136" s="17"/>
    </row>
    <row r="137" spans="1:14" s="8" customFormat="1" ht="14.25" customHeight="1" x14ac:dyDescent="0.3">
      <c r="A137" s="19">
        <v>127</v>
      </c>
      <c r="B137" s="20" t="s">
        <v>123</v>
      </c>
      <c r="C137" s="19" t="s">
        <v>177</v>
      </c>
      <c r="D137" s="22">
        <v>0</v>
      </c>
      <c r="E137" s="22">
        <v>0</v>
      </c>
      <c r="F137" s="22">
        <v>307076.45</v>
      </c>
      <c r="G137" s="22"/>
      <c r="H137" s="22">
        <v>540049.80000000005</v>
      </c>
      <c r="I137" s="22">
        <v>336197.45</v>
      </c>
      <c r="J137" s="22"/>
      <c r="K137" s="27">
        <f t="shared" si="4"/>
        <v>1183323.7</v>
      </c>
      <c r="M137" s="17"/>
    </row>
    <row r="138" spans="1:14" s="8" customFormat="1" ht="14.25" customHeight="1" x14ac:dyDescent="0.3">
      <c r="A138" s="19">
        <v>128</v>
      </c>
      <c r="B138" s="20" t="s">
        <v>124</v>
      </c>
      <c r="C138" s="19" t="s">
        <v>179</v>
      </c>
      <c r="D138" s="22">
        <v>0</v>
      </c>
      <c r="E138" s="22">
        <v>0</v>
      </c>
      <c r="F138" s="22">
        <v>0</v>
      </c>
      <c r="G138" s="22"/>
      <c r="H138" s="22"/>
      <c r="I138" s="22"/>
      <c r="J138" s="22"/>
      <c r="K138" s="27">
        <f t="shared" si="4"/>
        <v>0</v>
      </c>
      <c r="M138" s="17"/>
    </row>
    <row r="139" spans="1:14" s="8" customFormat="1" ht="14.25" customHeight="1" x14ac:dyDescent="0.3">
      <c r="A139" s="19">
        <v>129</v>
      </c>
      <c r="B139" s="20" t="s">
        <v>125</v>
      </c>
      <c r="C139" s="19" t="s">
        <v>179</v>
      </c>
      <c r="D139" s="22">
        <v>0</v>
      </c>
      <c r="E139" s="22">
        <v>0</v>
      </c>
      <c r="F139" s="22"/>
      <c r="G139" s="22">
        <f>(70190+38400+162694+146250+159899.24+136802.8)</f>
        <v>714236.04</v>
      </c>
      <c r="H139" s="22">
        <f>(142670+12477.5+159371.86+163990.5+145216.11)</f>
        <v>623725.97</v>
      </c>
      <c r="I139" s="22">
        <f>(39980+161150+170588.16)</f>
        <v>371718.16000000003</v>
      </c>
      <c r="J139" s="22">
        <f>(83336.32+131822.24)</f>
        <v>215158.56</v>
      </c>
      <c r="K139" s="27">
        <f>(D139+E139+F139+G139+H139+I139+J139)</f>
        <v>1924838.73</v>
      </c>
      <c r="M139" s="17"/>
    </row>
    <row r="140" spans="1:14" s="8" customFormat="1" ht="14.25" customHeight="1" x14ac:dyDescent="0.3">
      <c r="A140" s="19">
        <v>130</v>
      </c>
      <c r="B140" s="20" t="s">
        <v>126</v>
      </c>
      <c r="C140" s="19" t="s">
        <v>199</v>
      </c>
      <c r="D140" s="22">
        <v>141141</v>
      </c>
      <c r="E140" s="22"/>
      <c r="F140" s="22">
        <v>0</v>
      </c>
      <c r="G140" s="22"/>
      <c r="H140" s="22"/>
      <c r="I140" s="22"/>
      <c r="J140" s="22"/>
      <c r="K140" s="27">
        <f t="shared" si="4"/>
        <v>141141</v>
      </c>
      <c r="M140" s="17"/>
    </row>
    <row r="141" spans="1:14" s="8" customFormat="1" ht="14.25" customHeight="1" x14ac:dyDescent="0.3">
      <c r="A141" s="19">
        <v>131</v>
      </c>
      <c r="B141" s="20" t="s">
        <v>127</v>
      </c>
      <c r="C141" s="19" t="s">
        <v>179</v>
      </c>
      <c r="D141" s="22">
        <v>136930.20000000001</v>
      </c>
      <c r="E141" s="22">
        <v>0</v>
      </c>
      <c r="F141" s="22">
        <v>0</v>
      </c>
      <c r="G141" s="22"/>
      <c r="H141" s="22"/>
      <c r="I141" s="22"/>
      <c r="J141" s="22"/>
      <c r="K141" s="27">
        <f t="shared" si="4"/>
        <v>136930.20000000001</v>
      </c>
      <c r="M141" s="17"/>
    </row>
    <row r="142" spans="1:14" s="8" customFormat="1" ht="14.25" customHeight="1" x14ac:dyDescent="0.3">
      <c r="A142" s="19">
        <v>132</v>
      </c>
      <c r="B142" s="20" t="s">
        <v>128</v>
      </c>
      <c r="C142" s="19" t="s">
        <v>221</v>
      </c>
      <c r="D142" s="22">
        <v>0</v>
      </c>
      <c r="E142" s="22">
        <v>0</v>
      </c>
      <c r="F142" s="22">
        <v>0</v>
      </c>
      <c r="G142" s="22"/>
      <c r="H142" s="22"/>
      <c r="I142" s="22"/>
      <c r="J142" s="22"/>
      <c r="K142" s="27">
        <f t="shared" si="4"/>
        <v>0</v>
      </c>
      <c r="M142" s="17"/>
    </row>
    <row r="143" spans="1:14" s="8" customFormat="1" ht="14.25" customHeight="1" x14ac:dyDescent="0.3">
      <c r="A143" s="19">
        <v>133</v>
      </c>
      <c r="B143" s="20" t="s">
        <v>129</v>
      </c>
      <c r="C143" s="19" t="s">
        <v>179</v>
      </c>
      <c r="D143" s="22">
        <v>0</v>
      </c>
      <c r="E143" s="22">
        <v>0</v>
      </c>
      <c r="F143" s="22"/>
      <c r="G143" s="22"/>
      <c r="H143" s="22">
        <v>149000</v>
      </c>
      <c r="I143" s="22">
        <v>153400</v>
      </c>
      <c r="J143" s="22">
        <f>(84400+33000)</f>
        <v>117400</v>
      </c>
      <c r="K143" s="27">
        <f>(D143+E143+F143+G143+H143+I143+J143)</f>
        <v>419800</v>
      </c>
      <c r="M143" s="17"/>
    </row>
    <row r="144" spans="1:14" s="8" customFormat="1" ht="14.25" customHeight="1" x14ac:dyDescent="0.3">
      <c r="A144" s="19">
        <v>134</v>
      </c>
      <c r="B144" s="20" t="s">
        <v>130</v>
      </c>
      <c r="C144" s="19" t="s">
        <v>226</v>
      </c>
      <c r="D144" s="22"/>
      <c r="E144" s="22">
        <v>0</v>
      </c>
      <c r="F144" s="22"/>
      <c r="G144" s="22"/>
      <c r="H144" s="22">
        <v>16520</v>
      </c>
      <c r="I144" s="22">
        <v>16520</v>
      </c>
      <c r="J144" s="22"/>
      <c r="K144" s="27">
        <f t="shared" si="4"/>
        <v>33040</v>
      </c>
      <c r="M144" s="17"/>
    </row>
    <row r="145" spans="1:13" s="8" customFormat="1" ht="14.25" customHeight="1" x14ac:dyDescent="0.3">
      <c r="A145" s="19">
        <v>135</v>
      </c>
      <c r="B145" s="20" t="s">
        <v>131</v>
      </c>
      <c r="C145" s="19" t="s">
        <v>227</v>
      </c>
      <c r="D145" s="22">
        <v>0</v>
      </c>
      <c r="E145" s="22">
        <v>0</v>
      </c>
      <c r="F145" s="22"/>
      <c r="G145" s="22">
        <v>23600</v>
      </c>
      <c r="H145" s="22">
        <v>23600</v>
      </c>
      <c r="I145" s="22">
        <v>23600</v>
      </c>
      <c r="J145" s="22"/>
      <c r="K145" s="27">
        <f t="shared" ref="K145:K176" si="5">(D145+E145+F145+G145+H145+I145)</f>
        <v>70800</v>
      </c>
      <c r="M145" s="17"/>
    </row>
    <row r="146" spans="1:13" s="8" customFormat="1" ht="14.25" customHeight="1" x14ac:dyDescent="0.3">
      <c r="A146" s="19">
        <v>136</v>
      </c>
      <c r="B146" s="20" t="s">
        <v>132</v>
      </c>
      <c r="C146" s="19" t="s">
        <v>190</v>
      </c>
      <c r="D146" s="22">
        <v>0</v>
      </c>
      <c r="E146" s="22">
        <v>0</v>
      </c>
      <c r="F146" s="22"/>
      <c r="G146" s="22"/>
      <c r="H146" s="22">
        <f>(163165+135640)</f>
        <v>298805</v>
      </c>
      <c r="I146" s="22">
        <v>114608</v>
      </c>
      <c r="J146" s="22"/>
      <c r="K146" s="27">
        <f t="shared" si="5"/>
        <v>413413</v>
      </c>
      <c r="M146" s="17"/>
    </row>
    <row r="147" spans="1:13" s="8" customFormat="1" ht="14.25" customHeight="1" x14ac:dyDescent="0.3">
      <c r="A147" s="19">
        <v>137</v>
      </c>
      <c r="B147" s="20" t="s">
        <v>133</v>
      </c>
      <c r="C147" s="19" t="s">
        <v>179</v>
      </c>
      <c r="D147" s="22">
        <v>0</v>
      </c>
      <c r="E147" s="22">
        <v>0</v>
      </c>
      <c r="F147" s="22"/>
      <c r="G147" s="22"/>
      <c r="H147" s="22">
        <v>21000</v>
      </c>
      <c r="I147" s="22"/>
      <c r="J147" s="22"/>
      <c r="K147" s="27">
        <f t="shared" si="5"/>
        <v>21000</v>
      </c>
      <c r="M147" s="17"/>
    </row>
    <row r="148" spans="1:13" s="8" customFormat="1" ht="14.25" customHeight="1" x14ac:dyDescent="0.3">
      <c r="A148" s="19">
        <v>138</v>
      </c>
      <c r="B148" s="20" t="s">
        <v>272</v>
      </c>
      <c r="C148" s="19" t="s">
        <v>273</v>
      </c>
      <c r="D148" s="22"/>
      <c r="E148" s="22"/>
      <c r="F148" s="22"/>
      <c r="G148" s="22">
        <v>22272.5</v>
      </c>
      <c r="H148" s="22"/>
      <c r="I148" s="22"/>
      <c r="J148" s="22"/>
      <c r="K148" s="27">
        <f t="shared" si="5"/>
        <v>22272.5</v>
      </c>
      <c r="M148" s="17"/>
    </row>
    <row r="149" spans="1:13" s="8" customFormat="1" ht="14.25" customHeight="1" x14ac:dyDescent="0.3">
      <c r="A149" s="19">
        <v>139</v>
      </c>
      <c r="B149" s="20" t="s">
        <v>134</v>
      </c>
      <c r="C149" s="19" t="s">
        <v>179</v>
      </c>
      <c r="D149" s="22">
        <v>0</v>
      </c>
      <c r="E149" s="22"/>
      <c r="F149" s="22"/>
      <c r="G149" s="22"/>
      <c r="H149" s="22"/>
      <c r="I149" s="22"/>
      <c r="J149" s="22"/>
      <c r="K149" s="27">
        <f t="shared" si="5"/>
        <v>0</v>
      </c>
      <c r="M149" s="17"/>
    </row>
    <row r="150" spans="1:13" s="8" customFormat="1" ht="14.25" customHeight="1" x14ac:dyDescent="0.3">
      <c r="A150" s="19">
        <v>140</v>
      </c>
      <c r="B150" s="20" t="s">
        <v>135</v>
      </c>
      <c r="C150" s="19" t="s">
        <v>179</v>
      </c>
      <c r="D150" s="22">
        <v>33250</v>
      </c>
      <c r="E150" s="22"/>
      <c r="F150" s="22">
        <v>0</v>
      </c>
      <c r="G150" s="22"/>
      <c r="H150" s="22"/>
      <c r="I150" s="22"/>
      <c r="J150" s="22"/>
      <c r="K150" s="27">
        <f t="shared" si="5"/>
        <v>33250</v>
      </c>
      <c r="M150" s="17"/>
    </row>
    <row r="151" spans="1:13" s="8" customFormat="1" ht="14.25" customHeight="1" x14ac:dyDescent="0.3">
      <c r="A151" s="19">
        <v>141</v>
      </c>
      <c r="B151" s="20" t="s">
        <v>136</v>
      </c>
      <c r="C151" s="19" t="s">
        <v>228</v>
      </c>
      <c r="D151" s="22">
        <v>82270</v>
      </c>
      <c r="E151" s="22"/>
      <c r="F151" s="22">
        <v>0</v>
      </c>
      <c r="G151" s="22"/>
      <c r="H151" s="22"/>
      <c r="I151" s="22"/>
      <c r="J151" s="22"/>
      <c r="K151" s="27">
        <f t="shared" si="5"/>
        <v>82270</v>
      </c>
      <c r="M151" s="17"/>
    </row>
    <row r="152" spans="1:13" s="8" customFormat="1" ht="14.25" customHeight="1" x14ac:dyDescent="0.3">
      <c r="A152" s="19">
        <v>142</v>
      </c>
      <c r="B152" s="20" t="s">
        <v>137</v>
      </c>
      <c r="C152" s="19" t="s">
        <v>179</v>
      </c>
      <c r="D152" s="22"/>
      <c r="E152" s="22">
        <v>0</v>
      </c>
      <c r="F152" s="22">
        <v>0</v>
      </c>
      <c r="G152" s="22"/>
      <c r="H152" s="22"/>
      <c r="I152" s="22"/>
      <c r="J152" s="22"/>
      <c r="K152" s="27">
        <f t="shared" si="5"/>
        <v>0</v>
      </c>
      <c r="M152" s="17"/>
    </row>
    <row r="153" spans="1:13" s="8" customFormat="1" ht="14.25" customHeight="1" x14ac:dyDescent="0.3">
      <c r="A153" s="19">
        <v>143</v>
      </c>
      <c r="B153" s="20" t="s">
        <v>138</v>
      </c>
      <c r="C153" s="19" t="s">
        <v>229</v>
      </c>
      <c r="D153" s="22"/>
      <c r="E153" s="22">
        <v>0</v>
      </c>
      <c r="F153" s="22">
        <v>16520</v>
      </c>
      <c r="G153" s="22"/>
      <c r="H153" s="22"/>
      <c r="I153" s="22"/>
      <c r="J153" s="22"/>
      <c r="K153" s="27">
        <f t="shared" si="5"/>
        <v>16520</v>
      </c>
      <c r="M153" s="17"/>
    </row>
    <row r="154" spans="1:13" s="8" customFormat="1" ht="14.25" customHeight="1" x14ac:dyDescent="0.3">
      <c r="A154" s="19">
        <v>145</v>
      </c>
      <c r="B154" s="20" t="s">
        <v>139</v>
      </c>
      <c r="C154" s="19" t="s">
        <v>230</v>
      </c>
      <c r="D154" s="22">
        <v>50504</v>
      </c>
      <c r="E154" s="22">
        <v>0</v>
      </c>
      <c r="F154" s="22"/>
      <c r="G154" s="22"/>
      <c r="H154" s="22"/>
      <c r="I154" s="22"/>
      <c r="J154" s="22"/>
      <c r="K154" s="27">
        <f t="shared" si="5"/>
        <v>50504</v>
      </c>
      <c r="M154" s="17"/>
    </row>
    <row r="155" spans="1:13" s="8" customFormat="1" ht="14.25" customHeight="1" x14ac:dyDescent="0.3">
      <c r="A155" s="19">
        <v>146</v>
      </c>
      <c r="B155" s="20" t="s">
        <v>140</v>
      </c>
      <c r="C155" s="19" t="s">
        <v>231</v>
      </c>
      <c r="D155" s="33">
        <v>2596</v>
      </c>
      <c r="E155" s="22">
        <v>0</v>
      </c>
      <c r="F155" s="22"/>
      <c r="G155" s="22"/>
      <c r="H155" s="22"/>
      <c r="I155" s="22"/>
      <c r="J155" s="22"/>
      <c r="K155" s="27">
        <f t="shared" si="5"/>
        <v>2596</v>
      </c>
      <c r="M155" s="17"/>
    </row>
    <row r="156" spans="1:13" s="8" customFormat="1" ht="14.25" customHeight="1" x14ac:dyDescent="0.3">
      <c r="A156" s="19">
        <v>147</v>
      </c>
      <c r="B156" s="20" t="s">
        <v>141</v>
      </c>
      <c r="C156" s="19"/>
      <c r="D156" s="22">
        <v>0</v>
      </c>
      <c r="E156" s="22">
        <v>0</v>
      </c>
      <c r="F156" s="22">
        <v>0</v>
      </c>
      <c r="G156" s="22"/>
      <c r="H156" s="22"/>
      <c r="I156" s="22"/>
      <c r="J156" s="22"/>
      <c r="K156" s="27">
        <f t="shared" si="5"/>
        <v>0</v>
      </c>
      <c r="M156" s="17"/>
    </row>
    <row r="157" spans="1:13" s="8" customFormat="1" ht="14.25" customHeight="1" x14ac:dyDescent="0.3">
      <c r="A157" s="19">
        <v>148</v>
      </c>
      <c r="B157" s="20" t="s">
        <v>142</v>
      </c>
      <c r="C157" s="19" t="s">
        <v>182</v>
      </c>
      <c r="D157" s="22">
        <v>0</v>
      </c>
      <c r="E157" s="22">
        <v>0</v>
      </c>
      <c r="F157" s="22">
        <v>23600</v>
      </c>
      <c r="G157" s="22"/>
      <c r="H157" s="22"/>
      <c r="I157" s="22"/>
      <c r="J157" s="22"/>
      <c r="K157" s="27">
        <f t="shared" si="5"/>
        <v>23600</v>
      </c>
      <c r="M157" s="17"/>
    </row>
    <row r="158" spans="1:13" s="8" customFormat="1" ht="14.25" customHeight="1" x14ac:dyDescent="0.3">
      <c r="A158" s="19">
        <v>149</v>
      </c>
      <c r="B158" s="20" t="s">
        <v>143</v>
      </c>
      <c r="C158" s="19" t="s">
        <v>228</v>
      </c>
      <c r="D158" s="33">
        <v>738935.46</v>
      </c>
      <c r="E158" s="22">
        <v>0</v>
      </c>
      <c r="F158" s="22">
        <v>0</v>
      </c>
      <c r="G158" s="22"/>
      <c r="H158" s="22"/>
      <c r="I158" s="22"/>
      <c r="J158" s="22"/>
      <c r="K158" s="27">
        <f t="shared" si="5"/>
        <v>738935.46</v>
      </c>
      <c r="M158" s="17"/>
    </row>
    <row r="159" spans="1:13" s="8" customFormat="1" ht="14.25" customHeight="1" x14ac:dyDescent="0.3">
      <c r="A159" s="19"/>
      <c r="B159" s="20" t="s">
        <v>285</v>
      </c>
      <c r="C159" s="19" t="s">
        <v>286</v>
      </c>
      <c r="D159" s="33"/>
      <c r="E159" s="22"/>
      <c r="F159" s="22"/>
      <c r="G159" s="22"/>
      <c r="H159" s="22"/>
      <c r="I159" s="22">
        <v>80004</v>
      </c>
      <c r="J159" s="22"/>
      <c r="K159" s="27">
        <f t="shared" si="5"/>
        <v>80004</v>
      </c>
      <c r="M159" s="17"/>
    </row>
    <row r="160" spans="1:13" s="8" customFormat="1" ht="14.25" customHeight="1" x14ac:dyDescent="0.3">
      <c r="A160" s="19">
        <v>150</v>
      </c>
      <c r="B160" s="20" t="s">
        <v>144</v>
      </c>
      <c r="C160" s="19" t="s">
        <v>232</v>
      </c>
      <c r="D160" s="22"/>
      <c r="E160" s="22">
        <v>0</v>
      </c>
      <c r="F160" s="22"/>
      <c r="G160" s="22"/>
      <c r="H160" s="22">
        <v>267860</v>
      </c>
      <c r="I160" s="22"/>
      <c r="J160" s="22"/>
      <c r="K160" s="27">
        <f t="shared" si="5"/>
        <v>267860</v>
      </c>
      <c r="M160" s="17"/>
    </row>
    <row r="161" spans="1:14" s="8" customFormat="1" ht="14.25" customHeight="1" x14ac:dyDescent="0.3">
      <c r="A161" s="19">
        <v>151</v>
      </c>
      <c r="B161" s="20" t="s">
        <v>145</v>
      </c>
      <c r="C161" s="19" t="s">
        <v>179</v>
      </c>
      <c r="D161" s="22"/>
      <c r="E161" s="22">
        <v>0</v>
      </c>
      <c r="F161" s="22"/>
      <c r="G161" s="22"/>
      <c r="H161" s="22"/>
      <c r="I161" s="22"/>
      <c r="J161" s="22"/>
      <c r="K161" s="27">
        <f t="shared" si="5"/>
        <v>0</v>
      </c>
      <c r="M161" s="17"/>
      <c r="N161" s="35"/>
    </row>
    <row r="162" spans="1:14" s="8" customFormat="1" ht="14.25" customHeight="1" x14ac:dyDescent="0.3">
      <c r="A162" s="19">
        <v>152</v>
      </c>
      <c r="B162" s="20" t="s">
        <v>146</v>
      </c>
      <c r="C162" s="19" t="s">
        <v>168</v>
      </c>
      <c r="D162" s="22"/>
      <c r="E162" s="22">
        <v>0</v>
      </c>
      <c r="F162" s="36">
        <f>(46219.6+125130.36)</f>
        <v>171349.96</v>
      </c>
      <c r="G162" s="22">
        <f>(40626.3+144158.24+162444.7+85160.6)</f>
        <v>432389.83999999997</v>
      </c>
      <c r="H162" s="36">
        <f>(139641.2+153603.2)</f>
        <v>293244.40000000002</v>
      </c>
      <c r="I162" s="22">
        <f>(162659.83+161584+159788.8)</f>
        <v>484032.62999999995</v>
      </c>
      <c r="J162" s="22"/>
      <c r="K162" s="27">
        <f t="shared" si="5"/>
        <v>1381016.8299999998</v>
      </c>
      <c r="M162" s="17"/>
    </row>
    <row r="163" spans="1:14" s="8" customFormat="1" ht="14.25" customHeight="1" x14ac:dyDescent="0.3">
      <c r="A163" s="19">
        <v>153</v>
      </c>
      <c r="B163" s="20" t="s">
        <v>147</v>
      </c>
      <c r="C163" s="19" t="s">
        <v>233</v>
      </c>
      <c r="D163" s="22">
        <v>247094</v>
      </c>
      <c r="E163" s="22"/>
      <c r="F163" s="22">
        <v>0</v>
      </c>
      <c r="G163" s="22"/>
      <c r="H163" s="22"/>
      <c r="I163" s="22"/>
      <c r="J163" s="22"/>
      <c r="K163" s="27">
        <f t="shared" si="5"/>
        <v>247094</v>
      </c>
      <c r="M163" s="17"/>
    </row>
    <row r="164" spans="1:14" s="8" customFormat="1" ht="14.25" customHeight="1" x14ac:dyDescent="0.3">
      <c r="A164" s="19">
        <v>154</v>
      </c>
      <c r="B164" s="20" t="s">
        <v>148</v>
      </c>
      <c r="C164" s="19" t="s">
        <v>187</v>
      </c>
      <c r="D164" s="22">
        <v>0</v>
      </c>
      <c r="E164" s="22"/>
      <c r="F164" s="22"/>
      <c r="G164" s="22">
        <f>(38270+131520)</f>
        <v>169790</v>
      </c>
      <c r="H164" s="22"/>
      <c r="I164" s="22">
        <v>39000</v>
      </c>
      <c r="J164" s="22">
        <v>32500</v>
      </c>
      <c r="K164" s="27">
        <f>(D164+E164+F164+G164+H164+I164+J164)</f>
        <v>241290</v>
      </c>
      <c r="M164" s="17"/>
    </row>
    <row r="165" spans="1:14" s="8" customFormat="1" ht="14.25" customHeight="1" x14ac:dyDescent="0.3">
      <c r="A165" s="19">
        <v>155</v>
      </c>
      <c r="B165" s="20" t="s">
        <v>149</v>
      </c>
      <c r="C165" s="19" t="s">
        <v>182</v>
      </c>
      <c r="D165" s="22">
        <v>0</v>
      </c>
      <c r="E165" s="22">
        <v>0</v>
      </c>
      <c r="F165" s="22">
        <v>0</v>
      </c>
      <c r="G165" s="22"/>
      <c r="H165" s="22"/>
      <c r="I165" s="22"/>
      <c r="J165" s="22"/>
      <c r="K165" s="27">
        <f t="shared" si="5"/>
        <v>0</v>
      </c>
      <c r="M165" s="17"/>
    </row>
    <row r="166" spans="1:14" s="8" customFormat="1" ht="14.25" customHeight="1" x14ac:dyDescent="0.3">
      <c r="A166" s="19">
        <v>156</v>
      </c>
      <c r="B166" s="20" t="s">
        <v>150</v>
      </c>
      <c r="C166" s="19" t="s">
        <v>281</v>
      </c>
      <c r="D166" s="22">
        <v>0</v>
      </c>
      <c r="E166" s="22">
        <v>0</v>
      </c>
      <c r="F166" s="22"/>
      <c r="G166" s="22"/>
      <c r="H166" s="22"/>
      <c r="I166" s="22"/>
      <c r="J166" s="22"/>
      <c r="K166" s="27">
        <f t="shared" si="5"/>
        <v>0</v>
      </c>
      <c r="M166" s="17"/>
    </row>
    <row r="167" spans="1:14" s="8" customFormat="1" ht="14.25" customHeight="1" x14ac:dyDescent="0.3">
      <c r="A167" s="19">
        <v>157</v>
      </c>
      <c r="B167" s="20" t="s">
        <v>151</v>
      </c>
      <c r="C167" s="19"/>
      <c r="D167" s="22">
        <v>0</v>
      </c>
      <c r="E167" s="22">
        <v>0</v>
      </c>
      <c r="F167" s="22">
        <v>0</v>
      </c>
      <c r="G167" s="22"/>
      <c r="H167" s="22"/>
      <c r="I167" s="22"/>
      <c r="J167" s="22"/>
      <c r="K167" s="27">
        <f t="shared" si="5"/>
        <v>0</v>
      </c>
      <c r="M167" s="17"/>
    </row>
    <row r="168" spans="1:14" s="8" customFormat="1" ht="14.25" customHeight="1" x14ac:dyDescent="0.3">
      <c r="A168" s="19">
        <v>158</v>
      </c>
      <c r="B168" s="20" t="s">
        <v>152</v>
      </c>
      <c r="C168" s="19" t="s">
        <v>234</v>
      </c>
      <c r="D168" s="22">
        <v>0</v>
      </c>
      <c r="E168" s="22">
        <v>0</v>
      </c>
      <c r="F168" s="22">
        <v>0</v>
      </c>
      <c r="G168" s="22"/>
      <c r="H168" s="22"/>
      <c r="I168" s="22"/>
      <c r="J168" s="22"/>
      <c r="K168" s="27">
        <f t="shared" si="5"/>
        <v>0</v>
      </c>
      <c r="M168" s="17"/>
    </row>
    <row r="169" spans="1:14" s="8" customFormat="1" ht="14.25" customHeight="1" x14ac:dyDescent="0.3">
      <c r="A169" s="19">
        <v>159</v>
      </c>
      <c r="B169" s="20" t="s">
        <v>153</v>
      </c>
      <c r="C169" s="19" t="s">
        <v>235</v>
      </c>
      <c r="D169" s="22">
        <v>0</v>
      </c>
      <c r="E169" s="22">
        <v>0</v>
      </c>
      <c r="F169" s="22">
        <v>139995.20000000001</v>
      </c>
      <c r="G169" s="22"/>
      <c r="H169" s="22"/>
      <c r="I169" s="22"/>
      <c r="J169" s="22"/>
      <c r="K169" s="27">
        <f t="shared" si="5"/>
        <v>139995.20000000001</v>
      </c>
      <c r="M169" s="17"/>
    </row>
    <row r="170" spans="1:14" s="8" customFormat="1" ht="14.25" customHeight="1" x14ac:dyDescent="0.3">
      <c r="A170" s="19">
        <v>160</v>
      </c>
      <c r="B170" s="20" t="s">
        <v>154</v>
      </c>
      <c r="C170" s="19" t="s">
        <v>236</v>
      </c>
      <c r="D170" s="22">
        <v>0</v>
      </c>
      <c r="E170" s="22">
        <v>18585</v>
      </c>
      <c r="F170" s="22">
        <v>138240</v>
      </c>
      <c r="G170" s="22"/>
      <c r="H170" s="22"/>
      <c r="I170" s="22"/>
      <c r="J170" s="22"/>
      <c r="K170" s="27">
        <f t="shared" si="5"/>
        <v>156825</v>
      </c>
      <c r="M170" s="17"/>
    </row>
    <row r="171" spans="1:14" s="8" customFormat="1" ht="14.25" customHeight="1" x14ac:dyDescent="0.3">
      <c r="A171" s="19">
        <v>161</v>
      </c>
      <c r="B171" s="20" t="s">
        <v>155</v>
      </c>
      <c r="C171" s="19" t="s">
        <v>237</v>
      </c>
      <c r="D171" s="22">
        <v>0</v>
      </c>
      <c r="E171" s="22">
        <v>0</v>
      </c>
      <c r="F171" s="22"/>
      <c r="G171" s="22"/>
      <c r="H171" s="22"/>
      <c r="I171" s="22"/>
      <c r="J171" s="22"/>
      <c r="K171" s="27">
        <f t="shared" si="5"/>
        <v>0</v>
      </c>
      <c r="M171" s="17"/>
    </row>
    <row r="172" spans="1:14" s="8" customFormat="1" ht="14.25" customHeight="1" x14ac:dyDescent="0.3">
      <c r="A172" s="19">
        <v>162</v>
      </c>
      <c r="B172" s="20" t="s">
        <v>156</v>
      </c>
      <c r="C172" s="19" t="s">
        <v>238</v>
      </c>
      <c r="D172" s="22">
        <v>0</v>
      </c>
      <c r="E172" s="22"/>
      <c r="F172" s="22"/>
      <c r="G172" s="22"/>
      <c r="H172" s="22"/>
      <c r="I172" s="22"/>
      <c r="J172" s="22"/>
      <c r="K172" s="27">
        <f t="shared" si="5"/>
        <v>0</v>
      </c>
      <c r="M172" s="17"/>
    </row>
    <row r="173" spans="1:14" s="8" customFormat="1" ht="14.25" customHeight="1" x14ac:dyDescent="0.3">
      <c r="A173" s="19">
        <v>163</v>
      </c>
      <c r="B173" s="20" t="s">
        <v>157</v>
      </c>
      <c r="C173" s="19" t="s">
        <v>239</v>
      </c>
      <c r="D173" s="22"/>
      <c r="E173" s="22">
        <v>0</v>
      </c>
      <c r="F173" s="22">
        <v>0</v>
      </c>
      <c r="G173" s="22"/>
      <c r="H173" s="22"/>
      <c r="I173" s="22"/>
      <c r="J173" s="22"/>
      <c r="K173" s="27">
        <f t="shared" si="5"/>
        <v>0</v>
      </c>
      <c r="M173" s="17"/>
    </row>
    <row r="174" spans="1:14" s="8" customFormat="1" ht="14.25" customHeight="1" x14ac:dyDescent="0.3">
      <c r="A174" s="19">
        <v>164</v>
      </c>
      <c r="B174" s="20" t="s">
        <v>258</v>
      </c>
      <c r="C174" s="19" t="s">
        <v>179</v>
      </c>
      <c r="D174" s="22">
        <v>0</v>
      </c>
      <c r="E174" s="22">
        <v>0</v>
      </c>
      <c r="F174" s="22"/>
      <c r="G174" s="22"/>
      <c r="H174" s="22"/>
      <c r="I174" s="22"/>
      <c r="J174" s="22"/>
      <c r="K174" s="27">
        <f t="shared" si="5"/>
        <v>0</v>
      </c>
      <c r="M174" s="17"/>
    </row>
    <row r="175" spans="1:14" s="8" customFormat="1" ht="14.25" customHeight="1" x14ac:dyDescent="0.3">
      <c r="A175" s="19">
        <v>165</v>
      </c>
      <c r="B175" s="20" t="s">
        <v>158</v>
      </c>
      <c r="C175" s="19" t="s">
        <v>240</v>
      </c>
      <c r="D175" s="22">
        <v>0</v>
      </c>
      <c r="E175" s="22">
        <v>0</v>
      </c>
      <c r="F175" s="22">
        <v>854216</v>
      </c>
      <c r="G175" s="22"/>
      <c r="H175" s="22"/>
      <c r="I175" s="22"/>
      <c r="J175" s="22"/>
      <c r="K175" s="27">
        <f t="shared" si="5"/>
        <v>854216</v>
      </c>
      <c r="M175" s="17"/>
    </row>
    <row r="176" spans="1:14" s="8" customFormat="1" ht="14.25" customHeight="1" x14ac:dyDescent="0.3">
      <c r="A176" s="19">
        <v>166</v>
      </c>
      <c r="B176" s="20" t="s">
        <v>159</v>
      </c>
      <c r="C176" s="19" t="s">
        <v>241</v>
      </c>
      <c r="D176" s="22">
        <v>0</v>
      </c>
      <c r="E176" s="22">
        <v>0</v>
      </c>
      <c r="F176" s="22"/>
      <c r="G176" s="22"/>
      <c r="H176" s="22"/>
      <c r="I176" s="22"/>
      <c r="J176" s="22"/>
      <c r="K176" s="27">
        <f t="shared" si="5"/>
        <v>0</v>
      </c>
      <c r="M176" s="17"/>
    </row>
    <row r="177" spans="1:13" s="8" customFormat="1" ht="14.25" customHeight="1" x14ac:dyDescent="0.3">
      <c r="A177" s="19">
        <v>167</v>
      </c>
      <c r="B177" s="20" t="s">
        <v>160</v>
      </c>
      <c r="C177" s="19" t="s">
        <v>242</v>
      </c>
      <c r="D177" s="22">
        <v>0</v>
      </c>
      <c r="E177" s="22">
        <v>0</v>
      </c>
      <c r="F177" s="22"/>
      <c r="G177" s="22"/>
      <c r="H177" s="22"/>
      <c r="I177" s="22"/>
      <c r="J177" s="22"/>
      <c r="K177" s="27">
        <f t="shared" ref="K177:K186" si="6">(D177+E177+F177+G177+H177+I177)</f>
        <v>0</v>
      </c>
      <c r="M177" s="17"/>
    </row>
    <row r="178" spans="1:13" s="8" customFormat="1" ht="14.25" customHeight="1" x14ac:dyDescent="0.3">
      <c r="A178" s="19">
        <v>168</v>
      </c>
      <c r="B178" s="20" t="s">
        <v>161</v>
      </c>
      <c r="C178" s="19" t="s">
        <v>243</v>
      </c>
      <c r="D178" s="22">
        <v>0</v>
      </c>
      <c r="E178" s="22">
        <v>0</v>
      </c>
      <c r="F178" s="22"/>
      <c r="G178" s="22"/>
      <c r="H178" s="22"/>
      <c r="I178" s="22"/>
      <c r="J178" s="22"/>
      <c r="K178" s="27">
        <f t="shared" si="6"/>
        <v>0</v>
      </c>
      <c r="M178" s="17"/>
    </row>
    <row r="179" spans="1:13" s="8" customFormat="1" ht="14.25" customHeight="1" x14ac:dyDescent="0.3">
      <c r="A179" s="19">
        <v>169</v>
      </c>
      <c r="B179" s="20" t="s">
        <v>251</v>
      </c>
      <c r="C179" s="19" t="s">
        <v>274</v>
      </c>
      <c r="D179" s="22"/>
      <c r="E179" s="22"/>
      <c r="F179" s="22"/>
      <c r="G179" s="22"/>
      <c r="H179" s="22">
        <v>19752</v>
      </c>
      <c r="I179" s="22">
        <v>93720</v>
      </c>
      <c r="J179" s="22"/>
      <c r="K179" s="27">
        <f t="shared" si="6"/>
        <v>113472</v>
      </c>
      <c r="M179" s="17"/>
    </row>
    <row r="180" spans="1:13" s="8" customFormat="1" ht="14.25" customHeight="1" x14ac:dyDescent="0.3">
      <c r="A180" s="19">
        <v>170</v>
      </c>
      <c r="B180" s="20" t="s">
        <v>162</v>
      </c>
      <c r="C180" s="19" t="s">
        <v>244</v>
      </c>
      <c r="D180" s="22">
        <v>0</v>
      </c>
      <c r="E180" s="22">
        <v>0</v>
      </c>
      <c r="F180" s="22"/>
      <c r="G180" s="22"/>
      <c r="H180" s="22"/>
      <c r="I180" s="22"/>
      <c r="J180" s="22"/>
      <c r="K180" s="27">
        <f t="shared" si="6"/>
        <v>0</v>
      </c>
      <c r="M180" s="17"/>
    </row>
    <row r="181" spans="1:13" s="8" customFormat="1" ht="14.25" customHeight="1" x14ac:dyDescent="0.3">
      <c r="A181" s="19">
        <v>171</v>
      </c>
      <c r="B181" s="20" t="s">
        <v>163</v>
      </c>
      <c r="C181" s="19" t="s">
        <v>245</v>
      </c>
      <c r="D181" s="22">
        <v>0</v>
      </c>
      <c r="E181" s="22">
        <v>0</v>
      </c>
      <c r="F181" s="22">
        <f>(163925.6+140110)</f>
        <v>304035.59999999998</v>
      </c>
      <c r="G181" s="22">
        <f>(96570+126742+140920+147178+146000)</f>
        <v>657410</v>
      </c>
      <c r="H181" s="22">
        <f>(146000+158960)</f>
        <v>304960</v>
      </c>
      <c r="I181" s="22">
        <f>(157730+202440)</f>
        <v>360170</v>
      </c>
      <c r="J181" s="22">
        <f>(185390+90270+38190)</f>
        <v>313850</v>
      </c>
      <c r="K181" s="27">
        <f>(D181+E181+F181+G181+H181+I181+J181)</f>
        <v>1940425.6</v>
      </c>
      <c r="M181" s="17"/>
    </row>
    <row r="182" spans="1:13" s="8" customFormat="1" ht="14.25" customHeight="1" x14ac:dyDescent="0.3">
      <c r="A182" s="19">
        <v>172</v>
      </c>
      <c r="B182" s="20" t="s">
        <v>247</v>
      </c>
      <c r="C182" s="19" t="s">
        <v>248</v>
      </c>
      <c r="D182" s="22">
        <v>0</v>
      </c>
      <c r="E182" s="21"/>
      <c r="F182" s="34"/>
      <c r="G182" s="34"/>
      <c r="H182" s="22"/>
      <c r="I182" s="22">
        <v>60298</v>
      </c>
      <c r="J182" s="22"/>
      <c r="K182" s="27">
        <f t="shared" si="6"/>
        <v>60298</v>
      </c>
      <c r="M182" s="17"/>
    </row>
    <row r="183" spans="1:13" s="8" customFormat="1" ht="14.25" customHeight="1" x14ac:dyDescent="0.3">
      <c r="A183" s="19">
        <v>173</v>
      </c>
      <c r="B183" s="20" t="s">
        <v>249</v>
      </c>
      <c r="C183" s="19" t="s">
        <v>250</v>
      </c>
      <c r="D183" s="22"/>
      <c r="E183" s="21"/>
      <c r="F183" s="34">
        <v>264000</v>
      </c>
      <c r="G183" s="34"/>
      <c r="H183" s="22"/>
      <c r="I183" s="22"/>
      <c r="J183" s="22"/>
      <c r="K183" s="27">
        <f t="shared" si="6"/>
        <v>264000</v>
      </c>
      <c r="M183" s="17"/>
    </row>
    <row r="184" spans="1:13" s="8" customFormat="1" ht="14.25" customHeight="1" x14ac:dyDescent="0.3">
      <c r="A184" s="19">
        <v>174</v>
      </c>
      <c r="B184" s="20" t="s">
        <v>252</v>
      </c>
      <c r="C184" s="19" t="s">
        <v>179</v>
      </c>
      <c r="D184" s="22"/>
      <c r="E184" s="21"/>
      <c r="F184" s="34"/>
      <c r="G184" s="34">
        <v>22000</v>
      </c>
      <c r="H184" s="22">
        <v>18000</v>
      </c>
      <c r="I184" s="22"/>
      <c r="J184" s="22"/>
      <c r="K184" s="27">
        <f t="shared" si="6"/>
        <v>40000</v>
      </c>
      <c r="M184" s="17"/>
    </row>
    <row r="185" spans="1:13" s="8" customFormat="1" ht="14.25" customHeight="1" x14ac:dyDescent="0.3">
      <c r="A185" s="19">
        <v>175</v>
      </c>
      <c r="B185" s="20" t="s">
        <v>253</v>
      </c>
      <c r="C185" s="19" t="s">
        <v>254</v>
      </c>
      <c r="D185" s="22"/>
      <c r="E185" s="21"/>
      <c r="F185" s="34"/>
      <c r="G185" s="34"/>
      <c r="H185" s="22"/>
      <c r="I185" s="22">
        <f>(23541+152072.44)</f>
        <v>175613.44</v>
      </c>
      <c r="J185" s="22"/>
      <c r="K185" s="27">
        <f t="shared" si="6"/>
        <v>175613.44</v>
      </c>
      <c r="M185" s="17"/>
    </row>
    <row r="186" spans="1:13" s="8" customFormat="1" ht="14.25" customHeight="1" x14ac:dyDescent="0.3">
      <c r="A186" s="19">
        <v>176</v>
      </c>
      <c r="B186" s="20" t="s">
        <v>255</v>
      </c>
      <c r="C186" s="19" t="s">
        <v>256</v>
      </c>
      <c r="D186" s="22"/>
      <c r="E186" s="21"/>
      <c r="F186" s="34">
        <v>10030</v>
      </c>
      <c r="G186" s="34"/>
      <c r="H186" s="22"/>
      <c r="I186" s="22"/>
      <c r="J186" s="22"/>
      <c r="K186" s="27">
        <f t="shared" si="6"/>
        <v>10030</v>
      </c>
      <c r="M186" s="17"/>
    </row>
    <row r="187" spans="1:13" s="8" customFormat="1" ht="37.5" customHeight="1" x14ac:dyDescent="0.3">
      <c r="A187" s="40"/>
      <c r="B187" s="41"/>
      <c r="C187" s="41"/>
      <c r="D187" s="23">
        <f t="shared" ref="D187:H187" si="7">SUM(D8:D186)</f>
        <v>20295683.080000002</v>
      </c>
      <c r="E187" s="24">
        <f t="shared" si="7"/>
        <v>747341.14</v>
      </c>
      <c r="F187" s="25">
        <f t="shared" si="7"/>
        <v>7693506.7400000002</v>
      </c>
      <c r="G187" s="25">
        <f t="shared" si="7"/>
        <v>3746318.6999999997</v>
      </c>
      <c r="H187" s="23">
        <f t="shared" si="7"/>
        <v>5818695.6600000001</v>
      </c>
      <c r="I187" s="23">
        <f>SUM(I8:I186)</f>
        <v>8462765.1500000004</v>
      </c>
      <c r="J187" s="23">
        <f>SUM(J8:J186)</f>
        <v>2577546.9300000002</v>
      </c>
      <c r="K187" s="26">
        <f>(D187+E187+F187+G187+H187+I187+J187)</f>
        <v>49341857.399999999</v>
      </c>
    </row>
    <row r="188" spans="1:13" s="8" customFormat="1" ht="18.75" x14ac:dyDescent="0.3">
      <c r="D188" s="18"/>
      <c r="K188" s="18"/>
    </row>
    <row r="189" spans="1:13" ht="21" x14ac:dyDescent="0.35">
      <c r="A189" s="10"/>
      <c r="B189" s="9"/>
      <c r="C189" s="9"/>
      <c r="D189" s="9"/>
      <c r="E189" s="9"/>
      <c r="F189" s="11"/>
      <c r="G189" s="11"/>
      <c r="H189" s="9"/>
      <c r="I189" s="9"/>
      <c r="J189" s="9"/>
      <c r="K189" s="9"/>
    </row>
    <row r="190" spans="1:13" ht="21" x14ac:dyDescent="0.3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3" ht="21" x14ac:dyDescent="0.35">
      <c r="A191" s="9"/>
      <c r="B191" s="9"/>
      <c r="C191" s="9"/>
      <c r="D191" s="9"/>
      <c r="E191" s="9"/>
      <c r="F191" s="37"/>
      <c r="G191" s="38"/>
      <c r="H191" s="9"/>
      <c r="I191" s="9"/>
      <c r="J191" s="9"/>
      <c r="K191" s="9"/>
    </row>
    <row r="192" spans="1:13" ht="21" x14ac:dyDescent="0.3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0" ht="15.75" x14ac:dyDescent="0.25">
      <c r="B193" s="5"/>
      <c r="C193" s="1"/>
    </row>
    <row r="194" spans="1:10" x14ac:dyDescent="0.25">
      <c r="A194" s="42"/>
      <c r="B194" s="42"/>
      <c r="C194" s="42"/>
      <c r="D194" s="42"/>
      <c r="E194" s="42"/>
      <c r="F194" s="42"/>
      <c r="G194" s="6"/>
      <c r="H194" s="6"/>
      <c r="I194" s="6"/>
      <c r="J194" s="6"/>
    </row>
    <row r="195" spans="1:10" x14ac:dyDescent="0.25">
      <c r="A195" s="42"/>
      <c r="B195" s="42"/>
      <c r="C195" s="42"/>
      <c r="D195" s="42"/>
      <c r="E195" s="42"/>
      <c r="F195" s="42"/>
      <c r="G195" s="6"/>
      <c r="H195" s="6"/>
      <c r="I195" s="6"/>
      <c r="J195" s="6"/>
    </row>
    <row r="196" spans="1:10" x14ac:dyDescent="0.25">
      <c r="A196" s="3"/>
      <c r="B196" s="4"/>
      <c r="C196" s="4"/>
      <c r="D196" s="43"/>
      <c r="E196" s="43"/>
      <c r="F196" s="43"/>
      <c r="G196" s="7"/>
      <c r="H196" s="7"/>
      <c r="I196" s="7"/>
      <c r="J196" s="7"/>
    </row>
    <row r="197" spans="1:10" x14ac:dyDescent="0.25">
      <c r="A197" s="3"/>
      <c r="B197" s="2"/>
      <c r="C197" s="2"/>
      <c r="D197" s="39"/>
      <c r="E197" s="39"/>
      <c r="F197" s="39"/>
      <c r="G197" s="1"/>
      <c r="H197" s="1"/>
      <c r="I197" s="1"/>
      <c r="J197" s="1"/>
    </row>
  </sheetData>
  <mergeCells count="4">
    <mergeCell ref="D197:F197"/>
    <mergeCell ref="A187:C187"/>
    <mergeCell ref="A194:F195"/>
    <mergeCell ref="D196:F196"/>
  </mergeCells>
  <pageMargins left="0.70866141732283472" right="0.70866141732283472" top="0.74803149606299213" bottom="0.74803149606299213" header="0.31496062992125984" footer="0.31496062992125984"/>
  <pageSetup scale="36" fitToHeight="0" orientation="landscape" horizontalDpi="1200" verticalDpi="1200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Ruth Esther Patricio Agramonte</cp:lastModifiedBy>
  <cp:lastPrinted>2023-03-02T16:39:09Z</cp:lastPrinted>
  <dcterms:created xsi:type="dcterms:W3CDTF">2022-04-28T15:08:26Z</dcterms:created>
  <dcterms:modified xsi:type="dcterms:W3CDTF">2023-06-09T17:03:17Z</dcterms:modified>
</cp:coreProperties>
</file>