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OAI\COMPRAS Y CONTRATACIONES PUBLICAS\ESTADO DE CUENTA DE LOS SUPLIDORES\2023\EXCEL\"/>
    </mc:Choice>
  </mc:AlternateContent>
  <bookViews>
    <workbookView xWindow="0" yWindow="0" windowWidth="19200" windowHeight="11595"/>
  </bookViews>
  <sheets>
    <sheet name="DEUDA" sheetId="1" r:id="rId1"/>
    <sheet name="Hoja1" sheetId="2" r:id="rId2"/>
    <sheet name="Hoja2" sheetId="3" r:id="rId3"/>
  </sheets>
  <externalReferences>
    <externalReference r:id="rId4"/>
    <externalReference r:id="rId5"/>
  </externalReferences>
  <definedNames>
    <definedName name="JULIA">#REF!</definedName>
    <definedName name="NOMBRE" localSheetId="0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08" i="1" l="1"/>
  <c r="T106" i="1" l="1"/>
  <c r="V67" i="1" l="1"/>
  <c r="T81" i="1" l="1"/>
  <c r="U45" i="1"/>
  <c r="T185" i="1"/>
  <c r="V185" i="1" s="1"/>
  <c r="V8" i="1"/>
  <c r="V190" i="1"/>
  <c r="U106" i="1"/>
  <c r="T108" i="1"/>
  <c r="V162" i="1"/>
  <c r="T23" i="1"/>
  <c r="T113" i="1"/>
  <c r="V176" i="1"/>
  <c r="T22" i="1" l="1"/>
  <c r="T114" i="1" l="1"/>
  <c r="T37" i="1" l="1"/>
  <c r="T141" i="1"/>
  <c r="T183" i="1"/>
  <c r="V45" i="1"/>
  <c r="T45" i="1"/>
  <c r="T59" i="1" l="1"/>
  <c r="S147" i="1" l="1"/>
  <c r="U183" i="1" l="1"/>
  <c r="U191" i="1" s="1"/>
  <c r="V154" i="1"/>
  <c r="V184" i="1"/>
  <c r="V147" i="1" l="1"/>
  <c r="V187" i="1"/>
  <c r="T180" i="1"/>
  <c r="T78" i="1"/>
  <c r="V78" i="1" s="1"/>
  <c r="T145" i="1"/>
  <c r="V145" i="1" s="1"/>
  <c r="V144" i="1"/>
  <c r="V92" i="1"/>
  <c r="T14" i="1"/>
  <c r="V15" i="1" l="1"/>
  <c r="S57" i="1" l="1"/>
  <c r="V180" i="1" l="1"/>
  <c r="D26" i="1" l="1"/>
  <c r="F41" i="1"/>
  <c r="E55" i="1"/>
  <c r="F56" i="1"/>
  <c r="F105" i="1"/>
  <c r="F107" i="1"/>
  <c r="F182" i="1"/>
  <c r="V13" i="1" l="1"/>
  <c r="S59" i="1" l="1"/>
  <c r="S114" i="1"/>
  <c r="V14" i="1"/>
  <c r="V108" i="1"/>
  <c r="V68" i="1"/>
  <c r="V10" i="1"/>
  <c r="V139" i="1" l="1"/>
  <c r="V65" i="1"/>
  <c r="V19" i="1"/>
  <c r="V106" i="1"/>
  <c r="V112" i="1"/>
  <c r="V79" i="1"/>
  <c r="T107" i="1"/>
  <c r="V161" i="1"/>
  <c r="S81" i="1"/>
  <c r="V9" i="1"/>
  <c r="V40" i="1"/>
  <c r="S37" i="1"/>
  <c r="T191" i="1" l="1"/>
  <c r="S166" i="1"/>
  <c r="V99" i="1"/>
  <c r="V11" i="1" l="1"/>
  <c r="V17" i="1"/>
  <c r="V18" i="1"/>
  <c r="V20" i="1"/>
  <c r="V21" i="1"/>
  <c r="V24" i="1"/>
  <c r="V25" i="1"/>
  <c r="V27" i="1"/>
  <c r="V28" i="1"/>
  <c r="V29" i="1"/>
  <c r="V30" i="1"/>
  <c r="V31" i="1"/>
  <c r="V32" i="1"/>
  <c r="V33" i="1"/>
  <c r="V34" i="1"/>
  <c r="V35" i="1"/>
  <c r="V38" i="1"/>
  <c r="V39" i="1"/>
  <c r="V43" i="1"/>
  <c r="V46" i="1"/>
  <c r="V47" i="1"/>
  <c r="V48" i="1"/>
  <c r="V49" i="1"/>
  <c r="V50" i="1"/>
  <c r="V51" i="1"/>
  <c r="V52" i="1"/>
  <c r="V53" i="1"/>
  <c r="V54" i="1"/>
  <c r="V58" i="1"/>
  <c r="V60" i="1"/>
  <c r="V61" i="1"/>
  <c r="V62" i="1"/>
  <c r="V63" i="1"/>
  <c r="V64" i="1"/>
  <c r="V66" i="1"/>
  <c r="V69" i="1"/>
  <c r="V70" i="1"/>
  <c r="V71" i="1"/>
  <c r="V72" i="1"/>
  <c r="V73" i="1"/>
  <c r="V74" i="1"/>
  <c r="V75" i="1"/>
  <c r="V76" i="1"/>
  <c r="V77" i="1"/>
  <c r="V80" i="1"/>
  <c r="V82" i="1"/>
  <c r="V83" i="1"/>
  <c r="V84" i="1"/>
  <c r="V85" i="1"/>
  <c r="V86" i="1"/>
  <c r="V87" i="1"/>
  <c r="V88" i="1"/>
  <c r="V89" i="1"/>
  <c r="V91" i="1"/>
  <c r="V93" i="1"/>
  <c r="V94" i="1"/>
  <c r="V95" i="1"/>
  <c r="V96" i="1"/>
  <c r="V97" i="1"/>
  <c r="V98" i="1"/>
  <c r="V100" i="1"/>
  <c r="V101" i="1"/>
  <c r="V102" i="1"/>
  <c r="V103" i="1"/>
  <c r="V104" i="1"/>
  <c r="V109" i="1"/>
  <c r="V110" i="1"/>
  <c r="V111" i="1"/>
  <c r="V115" i="1"/>
  <c r="V116" i="1"/>
  <c r="V117" i="1"/>
  <c r="V118" i="1"/>
  <c r="V119" i="1"/>
  <c r="V121" i="1"/>
  <c r="V122" i="1"/>
  <c r="V124" i="1"/>
  <c r="V125" i="1"/>
  <c r="V126" i="1"/>
  <c r="V127" i="1"/>
  <c r="V129" i="1"/>
  <c r="V130" i="1"/>
  <c r="V131" i="1"/>
  <c r="V132" i="1"/>
  <c r="V134" i="1"/>
  <c r="V135" i="1"/>
  <c r="V137" i="1"/>
  <c r="V138" i="1"/>
  <c r="V140" i="1"/>
  <c r="V142" i="1"/>
  <c r="V143" i="1"/>
  <c r="V146" i="1"/>
  <c r="V149" i="1"/>
  <c r="V150" i="1"/>
  <c r="V151" i="1"/>
  <c r="V152" i="1"/>
  <c r="V153" i="1"/>
  <c r="V155" i="1"/>
  <c r="V156" i="1"/>
  <c r="V157" i="1"/>
  <c r="V158" i="1"/>
  <c r="V159" i="1"/>
  <c r="V160" i="1"/>
  <c r="V165" i="1"/>
  <c r="V167" i="1"/>
  <c r="V168" i="1"/>
  <c r="V169" i="1"/>
  <c r="V170" i="1"/>
  <c r="V171" i="1"/>
  <c r="V172" i="1"/>
  <c r="V173" i="1"/>
  <c r="V174" i="1"/>
  <c r="V175" i="1"/>
  <c r="V177" i="1"/>
  <c r="V178" i="1"/>
  <c r="V179" i="1"/>
  <c r="V181" i="1"/>
  <c r="V189" i="1"/>
  <c r="H59" i="1" l="1"/>
  <c r="O59" i="1"/>
  <c r="M59" i="1"/>
  <c r="N59" i="1"/>
  <c r="L59" i="1"/>
  <c r="K59" i="1"/>
  <c r="J59" i="1"/>
  <c r="I59" i="1"/>
  <c r="V90" i="1" l="1"/>
  <c r="P12" i="1" l="1"/>
  <c r="L191" i="1"/>
  <c r="K191" i="1"/>
  <c r="J191" i="1"/>
  <c r="I191" i="1"/>
  <c r="H191" i="1"/>
  <c r="G191" i="1"/>
  <c r="O164" i="1"/>
  <c r="N123" i="1"/>
  <c r="M123" i="1"/>
  <c r="V182" i="1"/>
  <c r="V105" i="1"/>
  <c r="V56" i="1"/>
  <c r="V44" i="1"/>
  <c r="V41" i="1"/>
  <c r="V36" i="1"/>
  <c r="N191" i="1" l="1"/>
  <c r="O191" i="1"/>
  <c r="V123" i="1"/>
  <c r="M191" i="1"/>
  <c r="S133" i="1" l="1"/>
  <c r="S141" i="1"/>
  <c r="V22" i="1" l="1"/>
  <c r="S191" i="1" l="1"/>
  <c r="R107" i="1"/>
  <c r="R59" i="1"/>
  <c r="R81" i="1" l="1"/>
  <c r="R113" i="1" l="1"/>
  <c r="V23" i="1"/>
  <c r="R188" i="1"/>
  <c r="V188" i="1" s="1"/>
  <c r="R114" i="1"/>
  <c r="R133" i="1"/>
  <c r="R183" i="1"/>
  <c r="V42" i="1"/>
  <c r="P183" i="1" l="1"/>
  <c r="V120" i="1" l="1"/>
  <c r="R164" i="1" l="1"/>
  <c r="R37" i="1"/>
  <c r="Q37" i="1"/>
  <c r="Q107" i="1"/>
  <c r="V107" i="1" s="1"/>
  <c r="V37" i="1" l="1"/>
  <c r="P164" i="1"/>
  <c r="Q16" i="1" l="1"/>
  <c r="V16" i="1" s="1"/>
  <c r="Q12" i="1"/>
  <c r="V12" i="1" s="1"/>
  <c r="R191" i="1" l="1"/>
  <c r="Q128" i="1" l="1"/>
  <c r="V128" i="1" s="1"/>
  <c r="Q113" i="1" l="1"/>
  <c r="V113" i="1" s="1"/>
  <c r="V141" i="1"/>
  <c r="V26" i="1"/>
  <c r="Q81" i="1" l="1"/>
  <c r="Q114" i="1"/>
  <c r="Q59" i="1" l="1"/>
  <c r="V148" i="1"/>
  <c r="P114" i="1"/>
  <c r="V114" i="1" s="1"/>
  <c r="P81" i="1"/>
  <c r="V81" i="1" s="1"/>
  <c r="Q183" i="1"/>
  <c r="V183" i="1" s="1"/>
  <c r="Q164" i="1"/>
  <c r="V164" i="1" s="1"/>
  <c r="Q57" i="1"/>
  <c r="V57" i="1" s="1"/>
  <c r="P59" i="1"/>
  <c r="V59" i="1" s="1"/>
  <c r="V55" i="1"/>
  <c r="P166" i="1" l="1"/>
  <c r="V166" i="1" s="1"/>
  <c r="V136" i="1" l="1"/>
  <c r="Q191" i="1" l="1"/>
  <c r="V133" i="1" l="1"/>
  <c r="D191" i="1" l="1"/>
  <c r="F191" i="1" l="1"/>
  <c r="E191" i="1" l="1"/>
  <c r="P191" i="1" l="1"/>
  <c r="V191" i="1" s="1"/>
</calcChain>
</file>

<file path=xl/sharedStrings.xml><?xml version="1.0" encoding="utf-8"?>
<sst xmlns="http://schemas.openxmlformats.org/spreadsheetml/2006/main" count="374" uniqueCount="299">
  <si>
    <t>MONTO AÑO 2021</t>
  </si>
  <si>
    <t>MONTO AÑOS ANTERIORES</t>
  </si>
  <si>
    <t xml:space="preserve">CONCEPTO DE COMPRA ( BREVE DESCRIPCION ) </t>
  </si>
  <si>
    <t xml:space="preserve">NOMBRES PROVEEDOR  </t>
  </si>
  <si>
    <t>NO</t>
  </si>
  <si>
    <t>SRS:____IV____</t>
  </si>
  <si>
    <t xml:space="preserve">DIRECCION DE FISCALIZACION Y CONTROL </t>
  </si>
  <si>
    <t xml:space="preserve">SERVICIO NACIONAL DE SALUD </t>
  </si>
  <si>
    <t>TOTAL DEUDA</t>
  </si>
  <si>
    <t>24 SERVIC DOMINICANA</t>
  </si>
  <si>
    <t>AGRAMONTE AUTO PARTS</t>
  </si>
  <si>
    <t>AGRIPINA RAMIREZ</t>
  </si>
  <si>
    <t>ALEXIS MARTE RAMIREZ</t>
  </si>
  <si>
    <t>AF ALSEGA PHARMA</t>
  </si>
  <si>
    <t>AMASUR DEL CARIBE SRL</t>
  </si>
  <si>
    <t>ANEST</t>
  </si>
  <si>
    <t>ALFONSO DENTAL</t>
  </si>
  <si>
    <t>ARGOS TECNOQUIMICOS INDUSTRIAL</t>
  </si>
  <si>
    <t>ARTES ALVAREZ MENDEZ IMPRESO</t>
  </si>
  <si>
    <t xml:space="preserve">AY R COMERCIAL </t>
  </si>
  <si>
    <t>AY S IMPORTADORA MEDICA</t>
  </si>
  <si>
    <t>AYUNTAMIENTO AZUA</t>
  </si>
  <si>
    <t>BIENVENIDO CONTRERA</t>
  </si>
  <si>
    <t>BIO -NOVA</t>
  </si>
  <si>
    <t xml:space="preserve">BIO-NUCLEAR </t>
  </si>
  <si>
    <t>BLAXCOR MEDICAL</t>
  </si>
  <si>
    <t>CENTRO POPULAR AZUANO</t>
  </si>
  <si>
    <t>CEREBRO DESINGS</t>
  </si>
  <si>
    <t xml:space="preserve">COMERCIAL PEÑA GARCIA </t>
  </si>
  <si>
    <t>COMFASA ,EIRL</t>
  </si>
  <si>
    <t>CRAL FARMACEUTICA</t>
  </si>
  <si>
    <t>CRISTALIA</t>
  </si>
  <si>
    <t>CRISTIAN DANIEL PEREZ</t>
  </si>
  <si>
    <t>CRISTINA ELECTRODOMESTICO</t>
  </si>
  <si>
    <t>CRUZ AYALA, SRL</t>
  </si>
  <si>
    <t>CEM CARIBBEAN</t>
  </si>
  <si>
    <t>COMERCIAL WILSON</t>
  </si>
  <si>
    <t>DAYCA, SRL</t>
  </si>
  <si>
    <t>DE LEON Y ASOCIADOS,SRL</t>
  </si>
  <si>
    <t>DIAFARMED EIRL</t>
  </si>
  <si>
    <t>DIAMELAD</t>
  </si>
  <si>
    <t>DINAMED,SRL</t>
  </si>
  <si>
    <t>DISTOSA</t>
  </si>
  <si>
    <t>DISTRIBUIDORA LENDOIRO</t>
  </si>
  <si>
    <t xml:space="preserve">DISTRIBUIDORA SAN MIGUEL </t>
  </si>
  <si>
    <t>DISTRIBUIDORA UNIVERSAL</t>
  </si>
  <si>
    <t>DISTRIBUIDORA DE ALIMENTOS,RL</t>
  </si>
  <si>
    <t>EDITORA CS, SRL</t>
  </si>
  <si>
    <t>EQUIMECORO</t>
  </si>
  <si>
    <t>ESODIHSA</t>
  </si>
  <si>
    <t>ELECTROSUR</t>
  </si>
  <si>
    <t xml:space="preserve">EPX </t>
  </si>
  <si>
    <t>FARMACIA RAMIREZ</t>
  </si>
  <si>
    <t>FARMARCA</t>
  </si>
  <si>
    <t>FARNASA</t>
  </si>
  <si>
    <t>FERNANDO A.BONILLA</t>
  </si>
  <si>
    <t>FERRETERIA COMPOSTELA</t>
  </si>
  <si>
    <t>FINA VEGETAL</t>
  </si>
  <si>
    <t>FIRST MEDICAL</t>
  </si>
  <si>
    <t>FLORISTERIA KEIXI</t>
  </si>
  <si>
    <t>FARACH,S.A.</t>
  </si>
  <si>
    <t xml:space="preserve">FERRESOLUCIONES </t>
  </si>
  <si>
    <t>GALAXIS DENTAL</t>
  </si>
  <si>
    <t>GLOBAL MULTI-PHARMA</t>
  </si>
  <si>
    <t>GLOBAL SERVICE</t>
  </si>
  <si>
    <t>GRUPO FILIA</t>
  </si>
  <si>
    <t>GZ HEALTH</t>
  </si>
  <si>
    <t>GAMMA TECH</t>
  </si>
  <si>
    <t>HEMOTEST</t>
  </si>
  <si>
    <t>HIDROMED</t>
  </si>
  <si>
    <t>HEXAPOWER PHARMA</t>
  </si>
  <si>
    <t>HIELO Y AGUA BUENA</t>
  </si>
  <si>
    <t>HOSPIRED, SRL</t>
  </si>
  <si>
    <t>IMÁGENES Y MATERIAL RAD</t>
  </si>
  <si>
    <t>IMPREICA,SRL</t>
  </si>
  <si>
    <t>IMPRENTA Y MULTISERVICIOS</t>
  </si>
  <si>
    <t>INDUVECA</t>
  </si>
  <si>
    <t>INKDOM</t>
  </si>
  <si>
    <t>INOFAR, SRL</t>
  </si>
  <si>
    <t>INNOVAMED</t>
  </si>
  <si>
    <t xml:space="preserve">INVERCIONES CABRAL MORA </t>
  </si>
  <si>
    <t>JENRRY SENCION</t>
  </si>
  <si>
    <t>JONATHAN ROSSO MEJIA</t>
  </si>
  <si>
    <t>JOSE REYES INSTALACION</t>
  </si>
  <si>
    <t>JOCACE</t>
  </si>
  <si>
    <t>KEMEL COMERCIAL</t>
  </si>
  <si>
    <t>LABORATORIO BIO-MEDICA</t>
  </si>
  <si>
    <t>LABORATORIO ORBIS, SA</t>
  </si>
  <si>
    <t>LABORATORIO DE ANALISIS CLINICOS TSI</t>
  </si>
  <si>
    <t>LABORATORIO SINTESIS, SRL</t>
  </si>
  <si>
    <t>LAMBDA DIAGNOSTICO</t>
  </si>
  <si>
    <t>LEROMED PHARMA</t>
  </si>
  <si>
    <t>LETERAGO,SRL</t>
  </si>
  <si>
    <t>LINDE GAS DOMINICANA</t>
  </si>
  <si>
    <t>LOVANT FARMACEUTICA,SRL</t>
  </si>
  <si>
    <t>LUCIMED FARMACEUTICA SRL.</t>
  </si>
  <si>
    <t>LUZ E. BATISTA PEREZ(FERNANDO BONILLA)</t>
  </si>
  <si>
    <t>LUIS ANGEL BELTRE</t>
  </si>
  <si>
    <t>MARCHENA COLON</t>
  </si>
  <si>
    <t>MAURICIO MENDEZ</t>
  </si>
  <si>
    <t>MEDICAL TECNOLOGUIES</t>
  </si>
  <si>
    <t>MEDIPROME,SRL</t>
  </si>
  <si>
    <t>MEDISOL</t>
  </si>
  <si>
    <t>MEDOXIGAS</t>
  </si>
  <si>
    <t>MIRTHA CUEVA</t>
  </si>
  <si>
    <t>MORAMI</t>
  </si>
  <si>
    <t>MULTI IMPRESOS OHPE</t>
  </si>
  <si>
    <t>NIFARMED, SRL</t>
  </si>
  <si>
    <t>M.Q.J SUPLIDORES DE MATERIALES Y SERVICIOS</t>
  </si>
  <si>
    <t>OGIM,SRL</t>
  </si>
  <si>
    <t>OSCAR A. RENTA NEGRON</t>
  </si>
  <si>
    <t>OSCAR ANTONIO EQUIPO PARA RX</t>
  </si>
  <si>
    <t>PAPELERIA E IMPRESOS CRISHOAN</t>
  </si>
  <si>
    <t>PHARMA TECH</t>
  </si>
  <si>
    <t>POCHEFARMAX</t>
  </si>
  <si>
    <t xml:space="preserve">POLLERA POPULAR </t>
  </si>
  <si>
    <t>PROLAFAI,SRL</t>
  </si>
  <si>
    <t>PRO PHARMACEUTICAL PEÑA</t>
  </si>
  <si>
    <t>PROMEDCA</t>
  </si>
  <si>
    <t>PROQUIA</t>
  </si>
  <si>
    <t>QUINTIN MORILLO</t>
  </si>
  <si>
    <t>R&amp;R MEDIC /CRISTINA ROSARIO</t>
  </si>
  <si>
    <t>RALANSA</t>
  </si>
  <si>
    <t>RAMISOL</t>
  </si>
  <si>
    <t>ROFASA FARMA</t>
  </si>
  <si>
    <t>ROSANNA DELGADO</t>
  </si>
  <si>
    <t>RV RHARMACEUTICALS</t>
  </si>
  <si>
    <t xml:space="preserve">RAMIREZ Y MOJICA </t>
  </si>
  <si>
    <t>SEAN DOMINICANA,SRL</t>
  </si>
  <si>
    <t>SERVICIOS  ELECTRICOS JHIRE</t>
  </si>
  <si>
    <t>SERVICIOS INFORMATICOS AZUANOS</t>
  </si>
  <si>
    <t>SERVICIOS HOSPITALARIOS</t>
  </si>
  <si>
    <t>SILVER PHARMA, SRL</t>
  </si>
  <si>
    <t>SINOPHARMA</t>
  </si>
  <si>
    <t>SUED Y FARGESA</t>
  </si>
  <si>
    <t>SUPER MERCADO J Y M</t>
  </si>
  <si>
    <t>SUIPHAR DOMINICANA ,S.R.L.</t>
  </si>
  <si>
    <t>SETEC, SERVICIOS E INST.TECNICAS ,S.RL</t>
  </si>
  <si>
    <t xml:space="preserve">TALLER GERMANIA </t>
  </si>
  <si>
    <t>TALLER IND EVARISTO</t>
  </si>
  <si>
    <t>TAPICERIA BRITO</t>
  </si>
  <si>
    <t>TERNURA FM</t>
  </si>
  <si>
    <t>TOMAS MONTERO</t>
  </si>
  <si>
    <t xml:space="preserve">UNIQUE PRESENTACIONES </t>
  </si>
  <si>
    <t>VAL-KAMED</t>
  </si>
  <si>
    <t>VENDIFAR</t>
  </si>
  <si>
    <t>VIMEPHAR, SRL</t>
  </si>
  <si>
    <t>WIMEZA ELECTRONICS</t>
  </si>
  <si>
    <t>YOJANCI A. NOVA ROSO</t>
  </si>
  <si>
    <t>YNCAR DELICATESSE &amp; BUFFET</t>
  </si>
  <si>
    <t>PRODUCTOS MEDICINALES</t>
  </si>
  <si>
    <t>ROBINSON CONCEPCION</t>
  </si>
  <si>
    <t>R&amp;P PROVISOLUCIONES, SRL</t>
  </si>
  <si>
    <t>EL MESON SUIZO</t>
  </si>
  <si>
    <t>FEC BIOMEDICAL</t>
  </si>
  <si>
    <t>EL PRIMO COMERCIAL</t>
  </si>
  <si>
    <t>ANGELA DE LOS SANTOS</t>
  </si>
  <si>
    <t>TROPIGAS</t>
  </si>
  <si>
    <t>ZOEC CIVIL</t>
  </si>
  <si>
    <t>ESEMUC, SRL</t>
  </si>
  <si>
    <t>GONZMEL</t>
  </si>
  <si>
    <t xml:space="preserve">FORDSTAR </t>
  </si>
  <si>
    <t>DASSA PHARMACEUTICAL ,S.A</t>
  </si>
  <si>
    <t>FUMIGACION</t>
  </si>
  <si>
    <t>REPUESTOS</t>
  </si>
  <si>
    <t>LECHE DE VACA</t>
  </si>
  <si>
    <t>ALIMENTOS</t>
  </si>
  <si>
    <t>MATERIAL MEDICO QUIRURGICO</t>
  </si>
  <si>
    <t>SUMINISTRO DE MEDICAMENTOS</t>
  </si>
  <si>
    <t>MEDICAMENTO</t>
  </si>
  <si>
    <t>MATERIALES DE ODONTOLOGIA</t>
  </si>
  <si>
    <t>SUMINISTRO MAT. DE LIMPIEZA</t>
  </si>
  <si>
    <t>MATERIAL DE OFICINA</t>
  </si>
  <si>
    <t>SUMINISTRO DE ALIMENTOS</t>
  </si>
  <si>
    <t>RECOGIDA DE DESECHOS SOLIDOS</t>
  </si>
  <si>
    <t>VIVERE</t>
  </si>
  <si>
    <t>REACTIVOS LABORATORIO</t>
  </si>
  <si>
    <t>REACTIVO DE LABORATORIO</t>
  </si>
  <si>
    <t>MEDICAMENTOS</t>
  </si>
  <si>
    <t>PAPEL DE ELECTRO</t>
  </si>
  <si>
    <t>ANESTESICOS</t>
  </si>
  <si>
    <t>PUBLICIDAD</t>
  </si>
  <si>
    <t>ELECTRODOMESTICO</t>
  </si>
  <si>
    <t>REACTIVOS</t>
  </si>
  <si>
    <t>SEP DE LARINGOSCOPIOS</t>
  </si>
  <si>
    <t>MASCARILLA PARA NEBULIZAR</t>
  </si>
  <si>
    <t>MAT. DE OFICINA</t>
  </si>
  <si>
    <t>MEDICAMENTOS/MMQ</t>
  </si>
  <si>
    <t>TONER</t>
  </si>
  <si>
    <t>MATERIAL GASTABLE</t>
  </si>
  <si>
    <t>MANT. DE FOTOCOPIADORA</t>
  </si>
  <si>
    <t>MATERIAL MEDICO</t>
  </si>
  <si>
    <t>MATERIAL RADIOLOGICO</t>
  </si>
  <si>
    <t>COMBUSTIBLE</t>
  </si>
  <si>
    <t>MATERIALES FERRETEROS</t>
  </si>
  <si>
    <t>LAVAMANOS QG.CON CUELLO DE GANZO</t>
  </si>
  <si>
    <t>MATERIAL DE LIMPIEZA</t>
  </si>
  <si>
    <t>MATERIAL FERRETERO</t>
  </si>
  <si>
    <t>VEGETALES</t>
  </si>
  <si>
    <t>REPARCION TOMOGRAFO/MAT.</t>
  </si>
  <si>
    <t>FLORES</t>
  </si>
  <si>
    <t>MATERIALES ODONTOLOGICOS</t>
  </si>
  <si>
    <t>MAT.MEDICO</t>
  </si>
  <si>
    <t>IMPRESORA INDUSTRIAL  MULTIFUNCIONAL</t>
  </si>
  <si>
    <t>SUMINISTRO DE AGUA</t>
  </si>
  <si>
    <t>REPUESTO AMB.</t>
  </si>
  <si>
    <t>MATERIAL DE INFORMATICA</t>
  </si>
  <si>
    <t xml:space="preserve">EQUIPO TECNOLOGICOS </t>
  </si>
  <si>
    <t>REPARACION EQUIPO</t>
  </si>
  <si>
    <t>MANTTO. AIRES ACON.</t>
  </si>
  <si>
    <t>SERVICIO TECNICO</t>
  </si>
  <si>
    <t>SERVICIOS DE INSPECCION DE SALA QUIRURGICAS</t>
  </si>
  <si>
    <t>OXIGENO</t>
  </si>
  <si>
    <t>CARNE DE RES</t>
  </si>
  <si>
    <t>SUMISTRO DE MAT. GASTABLE</t>
  </si>
  <si>
    <t>MANT. DE GASES ARTERIALES</t>
  </si>
  <si>
    <t>OXIGENO MEDICINAL</t>
  </si>
  <si>
    <t>EQUIPOS INFORMATICOS</t>
  </si>
  <si>
    <t>BATAS MEDICAS</t>
  </si>
  <si>
    <t xml:space="preserve">ACCUCHEK </t>
  </si>
  <si>
    <t>MATERIALES GASTABLES</t>
  </si>
  <si>
    <t>CARNE DE POLLO</t>
  </si>
  <si>
    <t>MAT,MEDICO GASTAB/MEDICAMENTOS</t>
  </si>
  <si>
    <t>SUMINISTRO DE MAT.DE LIMPIEZA</t>
  </si>
  <si>
    <t>VIVERES</t>
  </si>
  <si>
    <t>MANTENIMIENTO DE ASCENSORES</t>
  </si>
  <si>
    <t>SERVICIO DE INFORMATICA</t>
  </si>
  <si>
    <t>PROVISIONES</t>
  </si>
  <si>
    <t>MAT.DE ELEVADORES</t>
  </si>
  <si>
    <t>MANTENIMIENTO EQUIPOS</t>
  </si>
  <si>
    <t>RANURAR Y SOLDAR</t>
  </si>
  <si>
    <t>PLACAS DE RAYOS X</t>
  </si>
  <si>
    <t>MATERIAL MEDICO/MEDICAMENTOS</t>
  </si>
  <si>
    <t>SUMISTRO DE ALIMENTOS</t>
  </si>
  <si>
    <t>MAT.MEDICO QUIRURGICO</t>
  </si>
  <si>
    <t>SUMINISTRO DE PICADERAS</t>
  </si>
  <si>
    <t>SERVICIO DE MANTENIMIENTO SONOGRAFO</t>
  </si>
  <si>
    <t>ELECTRODOMESTICOS</t>
  </si>
  <si>
    <t>SUMINISTRO DE VIVERES/TRANSPORTE</t>
  </si>
  <si>
    <t>SUMINISTRO DE GAS</t>
  </si>
  <si>
    <t>MAT.MEDICO GASTABLES</t>
  </si>
  <si>
    <t>LAMPARA LED 2X2</t>
  </si>
  <si>
    <t>SERVICIO MAT AIRE ACONDICIONADO EMERG</t>
  </si>
  <si>
    <t>NEBULIZADOR PULMO AIDE 5650D</t>
  </si>
  <si>
    <t>MEDICAMENTOS /MAT MEDICO QUIRURGICO</t>
  </si>
  <si>
    <t>CAR-M</t>
  </si>
  <si>
    <t>ACTUALIDADES HOMER CENTER</t>
  </si>
  <si>
    <t>COMPRA DE SILLAS</t>
  </si>
  <si>
    <t>TAPICENTRO A&amp;A SRL</t>
  </si>
  <si>
    <t xml:space="preserve">COMPRA DE COLCHON </t>
  </si>
  <si>
    <t>CIRCUIMED</t>
  </si>
  <si>
    <t>GERENFAR,S..R,L.</t>
  </si>
  <si>
    <t>SOLUCIONES ELECTROPOWER ,S.R.L.</t>
  </si>
  <si>
    <t>REHABILITACION DE CIRCUITO ELECTRICO AIRE</t>
  </si>
  <si>
    <t>CANO FOTOGRAFIA</t>
  </si>
  <si>
    <t>SUMINISTRO DE MAT.GASTABLES</t>
  </si>
  <si>
    <t>MASTER-CLEAN</t>
  </si>
  <si>
    <t>SERVIC SALUD</t>
  </si>
  <si>
    <t>FACT./119,800/21,240.00,PORTAL</t>
  </si>
  <si>
    <t>IMPRESORA KR,SRL</t>
  </si>
  <si>
    <t>SUMINISTRO DE MAT.PARA FARMACIA</t>
  </si>
  <si>
    <t>JM GUNDIN &amp; ASOCIADOS ,S.R.L.</t>
  </si>
  <si>
    <t xml:space="preserve">EL PIROS PHAMACEUTICA SRL </t>
  </si>
  <si>
    <t>MATERIALES MEDICO</t>
  </si>
  <si>
    <t>CYBERRAN SRL</t>
  </si>
  <si>
    <t>ESTACION DE COMBUSTIBLE MAMBO</t>
  </si>
  <si>
    <t>PAPATERRA MONTOLIO</t>
  </si>
  <si>
    <t>JUÑAÑO</t>
  </si>
  <si>
    <t xml:space="preserve">ALMUERZO </t>
  </si>
  <si>
    <t>COPEM HOSPICLINIC</t>
  </si>
  <si>
    <t>GILBERT JOSE GONZALEZ</t>
  </si>
  <si>
    <t>MANT. DE AIRES</t>
  </si>
  <si>
    <t xml:space="preserve">SUPLIMED    </t>
  </si>
  <si>
    <t>MAT .FERRETERO</t>
  </si>
  <si>
    <t>SUMINISTRO EQUIPO MEDICO</t>
  </si>
  <si>
    <t>HOSPILAB, SRL</t>
  </si>
  <si>
    <t xml:space="preserve">MICROSCOCOPIO DIGITAL </t>
  </si>
  <si>
    <t>INVERCIONES PALAU ,S.A,</t>
  </si>
  <si>
    <t>SERVICIO ARQUILER DE SONIDO</t>
  </si>
  <si>
    <t>DELICIAS</t>
  </si>
  <si>
    <t xml:space="preserve">SERVICIOS DE BUFFET PARA 50 PERSONAS </t>
  </si>
  <si>
    <t xml:space="preserve">tenia error en monto </t>
  </si>
  <si>
    <t>BUFFET</t>
  </si>
  <si>
    <t>COLEGIO MEDICO DOMINICANO</t>
  </si>
  <si>
    <t>ALQUILER DE SALON PARA CENA</t>
  </si>
  <si>
    <t>GASES DEL SUR</t>
  </si>
  <si>
    <t>TELELITE</t>
  </si>
  <si>
    <t>COMPRA DE IMPRESORA</t>
  </si>
  <si>
    <t>MONTO ENE 2022</t>
  </si>
  <si>
    <r>
      <t xml:space="preserve">   ESTABLECIMIENTO:_</t>
    </r>
    <r>
      <rPr>
        <b/>
        <u/>
        <sz val="12"/>
        <color theme="1"/>
        <rFont val="Calibri"/>
        <family val="2"/>
        <scheme val="minor"/>
      </rPr>
      <t>HOSPITAL REGIONAL TAIWAN 19 DE MARZO</t>
    </r>
    <r>
      <rPr>
        <sz val="12"/>
        <color theme="1"/>
        <rFont val="Calibri"/>
        <family val="2"/>
        <scheme val="minor"/>
      </rPr>
      <t>_________________________________________________________________________</t>
    </r>
  </si>
  <si>
    <t>JOSE AUGUSTO SORIANO</t>
  </si>
  <si>
    <t>CAMBIO DE TUBERIA</t>
  </si>
  <si>
    <t>PRODUCTOS CHEF, S.A</t>
  </si>
  <si>
    <t>EMBUSTIDO</t>
  </si>
  <si>
    <t xml:space="preserve">&lt;Z </t>
  </si>
  <si>
    <t xml:space="preserve">MORA BELTRE </t>
  </si>
  <si>
    <r>
      <t xml:space="preserve"> </t>
    </r>
    <r>
      <rPr>
        <sz val="16"/>
        <color theme="1"/>
        <rFont val="Calibri"/>
        <family val="2"/>
        <scheme val="minor"/>
      </rPr>
      <t>SUMINISTRO DE VIVERES</t>
    </r>
  </si>
  <si>
    <t>COMPROMISO DE DEUDAS 2023</t>
  </si>
  <si>
    <r>
      <t xml:space="preserve">MES REPORTADO: </t>
    </r>
    <r>
      <rPr>
        <b/>
        <sz val="12"/>
        <color theme="1"/>
        <rFont val="Calibri"/>
        <family val="2"/>
        <scheme val="minor"/>
      </rPr>
      <t xml:space="preserve">MARZO </t>
    </r>
    <r>
      <rPr>
        <b/>
        <u/>
        <sz val="14"/>
        <color theme="1"/>
        <rFont val="Calibri"/>
        <family val="2"/>
        <scheme val="minor"/>
      </rPr>
      <t>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</si>
</sst>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€_-;\-* #,##0.00\ _€_-;_-* &quot;-&quot;??\ _€_-;_-@_-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rgb="FFC00000"/>
      <name val="Calibri"/>
      <family val="2"/>
      <scheme val="minor"/>
    </font>
    <font>
      <sz val="16"/>
      <name val="Calibri"/>
      <family val="2"/>
      <scheme val="minor"/>
    </font>
    <font>
      <sz val="16"/>
      <name val="Times New Roman"/>
      <family val="1"/>
    </font>
    <font>
      <sz val="16"/>
      <color rgb="FFFF0000"/>
      <name val="Calibri"/>
      <family val="2"/>
      <scheme val="minor"/>
    </font>
    <font>
      <b/>
      <sz val="16"/>
      <name val="Calibri"/>
      <family val="2"/>
      <scheme val="minor"/>
    </font>
    <font>
      <sz val="16"/>
      <name val="Calibri Light"/>
      <family val="1"/>
      <scheme val="major"/>
    </font>
    <font>
      <sz val="16"/>
      <color rgb="FFFF0000"/>
      <name val="Times New Roman"/>
      <family val="1"/>
    </font>
    <font>
      <sz val="16"/>
      <color theme="1"/>
      <name val="Times New Roman"/>
      <family val="1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8"/>
      <color theme="1"/>
      <name val="Times New Roman"/>
      <family val="1"/>
    </font>
    <font>
      <sz val="1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0" fillId="0" borderId="0"/>
  </cellStyleXfs>
  <cellXfs count="6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/>
    </xf>
    <xf numFmtId="0" fontId="5" fillId="0" borderId="0" xfId="0" applyFont="1"/>
    <xf numFmtId="0" fontId="7" fillId="0" borderId="0" xfId="0" applyFont="1"/>
    <xf numFmtId="0" fontId="8" fillId="0" borderId="0" xfId="0" applyFont="1"/>
    <xf numFmtId="0" fontId="4" fillId="0" borderId="0" xfId="0" applyFont="1"/>
    <xf numFmtId="0" fontId="6" fillId="0" borderId="0" xfId="0" applyFont="1"/>
    <xf numFmtId="43" fontId="6" fillId="0" borderId="0" xfId="2" applyFont="1" applyFill="1"/>
    <xf numFmtId="4" fontId="6" fillId="0" borderId="0" xfId="0" applyNumberFormat="1" applyFont="1"/>
    <xf numFmtId="3" fontId="6" fillId="0" borderId="0" xfId="0" applyNumberFormat="1" applyFont="1"/>
    <xf numFmtId="43" fontId="6" fillId="0" borderId="0" xfId="0" applyNumberFormat="1" applyFont="1"/>
    <xf numFmtId="43" fontId="5" fillId="0" borderId="0" xfId="2" applyFont="1" applyFill="1"/>
    <xf numFmtId="164" fontId="5" fillId="0" borderId="0" xfId="0" applyNumberFormat="1" applyFont="1"/>
    <xf numFmtId="0" fontId="9" fillId="0" borderId="1" xfId="0" applyFont="1" applyBorder="1"/>
    <xf numFmtId="0" fontId="10" fillId="0" borderId="1" xfId="0" applyFont="1" applyBorder="1"/>
    <xf numFmtId="164" fontId="9" fillId="0" borderId="1" xfId="1" applyFont="1" applyFill="1" applyBorder="1" applyAlignment="1">
      <alignment horizontal="center"/>
    </xf>
    <xf numFmtId="164" fontId="9" fillId="0" borderId="1" xfId="1" applyFont="1" applyFill="1" applyBorder="1" applyAlignment="1">
      <alignment horizontal="right"/>
    </xf>
    <xf numFmtId="43" fontId="9" fillId="0" borderId="1" xfId="2" applyFont="1" applyFill="1" applyBorder="1" applyAlignment="1">
      <alignment horizontal="center"/>
    </xf>
    <xf numFmtId="164" fontId="11" fillId="0" borderId="1" xfId="1" applyFont="1" applyFill="1" applyBorder="1" applyAlignment="1">
      <alignment horizontal="center"/>
    </xf>
    <xf numFmtId="164" fontId="7" fillId="0" borderId="1" xfId="1" applyFont="1" applyFill="1" applyBorder="1" applyAlignment="1">
      <alignment horizontal="center"/>
    </xf>
    <xf numFmtId="164" fontId="12" fillId="0" borderId="1" xfId="1" applyFont="1" applyFill="1" applyBorder="1" applyAlignment="1">
      <alignment horizontal="center"/>
    </xf>
    <xf numFmtId="0" fontId="9" fillId="0" borderId="1" xfId="0" applyFont="1" applyBorder="1" applyAlignment="1">
      <alignment wrapText="1"/>
    </xf>
    <xf numFmtId="43" fontId="13" fillId="0" borderId="1" xfId="2" applyFont="1" applyFill="1" applyBorder="1" applyAlignment="1">
      <alignment horizontal="center" vertical="center" wrapText="1"/>
    </xf>
    <xf numFmtId="4" fontId="14" fillId="0" borderId="1" xfId="0" applyNumberFormat="1" applyFont="1" applyBorder="1"/>
    <xf numFmtId="0" fontId="7" fillId="0" borderId="1" xfId="0" applyFont="1" applyBorder="1"/>
    <xf numFmtId="0" fontId="15" fillId="0" borderId="1" xfId="0" applyFont="1" applyBorder="1"/>
    <xf numFmtId="4" fontId="15" fillId="0" borderId="1" xfId="0" applyNumberFormat="1" applyFont="1" applyBorder="1" applyAlignment="1">
      <alignment horizontal="center"/>
    </xf>
    <xf numFmtId="4" fontId="10" fillId="0" borderId="1" xfId="0" applyNumberFormat="1" applyFont="1" applyBorder="1"/>
    <xf numFmtId="4" fontId="10" fillId="0" borderId="1" xfId="0" applyNumberFormat="1" applyFont="1" applyBorder="1" applyAlignment="1">
      <alignment horizontal="center"/>
    </xf>
    <xf numFmtId="164" fontId="4" fillId="2" borderId="1" xfId="1" applyFont="1" applyFill="1" applyBorder="1" applyAlignment="1">
      <alignment horizontal="center"/>
    </xf>
    <xf numFmtId="164" fontId="4" fillId="2" borderId="2" xfId="0" applyNumberFormat="1" applyFont="1" applyFill="1" applyBorder="1"/>
    <xf numFmtId="164" fontId="4" fillId="2" borderId="2" xfId="0" applyNumberFormat="1" applyFont="1" applyFill="1" applyBorder="1" applyAlignment="1">
      <alignment horizontal="right"/>
    </xf>
    <xf numFmtId="164" fontId="12" fillId="2" borderId="1" xfId="1" applyFont="1" applyFill="1" applyBorder="1" applyAlignment="1">
      <alignment horizontal="right"/>
    </xf>
    <xf numFmtId="0" fontId="16" fillId="0" borderId="0" xfId="0" applyFont="1" applyAlignment="1">
      <alignment horizontal="centerContinuous"/>
    </xf>
    <xf numFmtId="0" fontId="17" fillId="0" borderId="0" xfId="0" applyFont="1" applyAlignment="1">
      <alignment horizontal="centerContinuous"/>
    </xf>
    <xf numFmtId="0" fontId="17" fillId="0" borderId="0" xfId="0" applyFont="1"/>
    <xf numFmtId="0" fontId="17" fillId="0" borderId="5" xfId="0" applyFont="1" applyBorder="1"/>
    <xf numFmtId="0" fontId="16" fillId="3" borderId="1" xfId="0" applyFont="1" applyFill="1" applyBorder="1" applyAlignment="1">
      <alignment horizontal="center" wrapText="1"/>
    </xf>
    <xf numFmtId="17" fontId="16" fillId="3" borderId="1" xfId="0" applyNumberFormat="1" applyFont="1" applyFill="1" applyBorder="1" applyAlignment="1">
      <alignment horizontal="center" wrapText="1"/>
    </xf>
    <xf numFmtId="164" fontId="12" fillId="2" borderId="1" xfId="1" applyFont="1" applyFill="1" applyBorder="1" applyAlignment="1">
      <alignment horizontal="center"/>
    </xf>
    <xf numFmtId="164" fontId="6" fillId="0" borderId="1" xfId="1" applyFont="1" applyFill="1" applyBorder="1" applyAlignment="1">
      <alignment horizontal="center"/>
    </xf>
    <xf numFmtId="0" fontId="9" fillId="0" borderId="4" xfId="0" applyFont="1" applyBorder="1"/>
    <xf numFmtId="4" fontId="10" fillId="0" borderId="2" xfId="0" applyNumberFormat="1" applyFont="1" applyBorder="1"/>
    <xf numFmtId="0" fontId="21" fillId="4" borderId="1" xfId="3" applyFont="1" applyFill="1" applyBorder="1"/>
    <xf numFmtId="0" fontId="0" fillId="0" borderId="6" xfId="0" applyBorder="1"/>
    <xf numFmtId="4" fontId="22" fillId="4" borderId="1" xfId="0" applyNumberFormat="1" applyFont="1" applyFill="1" applyBorder="1"/>
    <xf numFmtId="4" fontId="22" fillId="0" borderId="2" xfId="0" applyNumberFormat="1" applyFont="1" applyBorder="1" applyAlignment="1">
      <alignment horizontal="center"/>
    </xf>
    <xf numFmtId="0" fontId="23" fillId="4" borderId="1" xfId="3" applyFont="1" applyFill="1" applyBorder="1"/>
    <xf numFmtId="164" fontId="7" fillId="0" borderId="1" xfId="1" applyFont="1" applyFill="1" applyBorder="1" applyAlignment="1">
      <alignment horizontal="right"/>
    </xf>
    <xf numFmtId="43" fontId="5" fillId="0" borderId="0" xfId="0" applyNumberFormat="1" applyFont="1"/>
    <xf numFmtId="0" fontId="0" fillId="0" borderId="0" xfId="0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/>
    </xf>
    <xf numFmtId="0" fontId="4" fillId="0" borderId="0" xfId="0" applyFont="1" applyBorder="1"/>
    <xf numFmtId="164" fontId="4" fillId="0" borderId="0" xfId="0" applyNumberFormat="1" applyFont="1" applyBorder="1"/>
  </cellXfs>
  <cellStyles count="4">
    <cellStyle name="Millares" xfId="2" builtinId="3"/>
    <cellStyle name="Millares 2 2" xfId="1"/>
    <cellStyle name="Normal" xfId="0" builtinId="0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193</xdr:row>
      <xdr:rowOff>0</xdr:rowOff>
    </xdr:from>
    <xdr:to>
      <xdr:col>15</xdr:col>
      <xdr:colOff>486834</xdr:colOff>
      <xdr:row>205</xdr:row>
      <xdr:rowOff>121842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948333" y="55181500"/>
          <a:ext cx="3471334" cy="26406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&#209;O%202023/DEUDA%20PENDIENTE/ABRIL%20-2023/R-VI%20MODELO%20DEUDA%20ABRIL-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UDA"/>
    </sheetNames>
    <sheetDataSet>
      <sheetData sheetId="0">
        <row r="108">
          <cell r="J108">
            <v>606239.93000000005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201"/>
  <sheetViews>
    <sheetView tabSelected="1" topLeftCell="C178" zoomScale="90" zoomScaleNormal="90" workbookViewId="0">
      <selection activeCell="E194" sqref="E194"/>
    </sheetView>
  </sheetViews>
  <sheetFormatPr baseColWidth="10" defaultColWidth="11.42578125" defaultRowHeight="15" x14ac:dyDescent="0.25"/>
  <cols>
    <col min="1" max="1" width="9.5703125" customWidth="1"/>
    <col min="2" max="2" width="54.28515625" customWidth="1"/>
    <col min="3" max="3" width="59.85546875" customWidth="1"/>
    <col min="4" max="4" width="25.5703125" customWidth="1"/>
    <col min="5" max="5" width="20.140625" customWidth="1"/>
    <col min="6" max="6" width="24.5703125" customWidth="1"/>
    <col min="7" max="15" width="24.5703125" hidden="1" customWidth="1"/>
    <col min="16" max="16" width="23.5703125" customWidth="1"/>
    <col min="17" max="17" width="22.140625" customWidth="1"/>
    <col min="18" max="18" width="22.7109375" customWidth="1"/>
    <col min="19" max="20" width="23.7109375" customWidth="1"/>
    <col min="21" max="21" width="23.7109375" hidden="1" customWidth="1"/>
    <col min="22" max="22" width="29.5703125" customWidth="1"/>
    <col min="23" max="23" width="14.140625" bestFit="1" customWidth="1"/>
    <col min="24" max="24" width="15" customWidth="1"/>
  </cols>
  <sheetData>
    <row r="1" spans="1:24" s="8" customFormat="1" ht="18.75" x14ac:dyDescent="0.3">
      <c r="A1" s="39" t="s">
        <v>7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</row>
    <row r="2" spans="1:24" s="8" customFormat="1" ht="18.75" x14ac:dyDescent="0.3">
      <c r="A2" s="40" t="s">
        <v>6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</row>
    <row r="3" spans="1:24" s="8" customFormat="1" ht="18.75" x14ac:dyDescent="0.3">
      <c r="A3" s="40" t="s">
        <v>297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</row>
    <row r="4" spans="1:24" s="8" customFormat="1" ht="18.75" x14ac:dyDescent="0.3">
      <c r="A4" s="41"/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</row>
    <row r="5" spans="1:24" s="8" customFormat="1" ht="18.75" x14ac:dyDescent="0.3">
      <c r="A5" s="41" t="s">
        <v>289</v>
      </c>
      <c r="B5" s="41"/>
      <c r="C5" s="41"/>
      <c r="D5" s="41"/>
      <c r="E5" s="41" t="s">
        <v>5</v>
      </c>
      <c r="F5" s="41" t="s">
        <v>298</v>
      </c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</row>
    <row r="6" spans="1:24" s="8" customFormat="1" ht="27" customHeight="1" x14ac:dyDescent="0.3">
      <c r="A6" s="41"/>
      <c r="B6" s="42"/>
      <c r="C6" s="41"/>
      <c r="D6" s="41"/>
      <c r="E6" s="41"/>
      <c r="F6" s="41"/>
      <c r="G6" s="41" t="s">
        <v>294</v>
      </c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</row>
    <row r="7" spans="1:24" s="8" customFormat="1" ht="32.25" x14ac:dyDescent="0.3">
      <c r="A7" s="43" t="s">
        <v>4</v>
      </c>
      <c r="B7" s="43" t="s">
        <v>3</v>
      </c>
      <c r="C7" s="43" t="s">
        <v>2</v>
      </c>
      <c r="D7" s="43" t="s">
        <v>1</v>
      </c>
      <c r="E7" s="43" t="s">
        <v>0</v>
      </c>
      <c r="F7" s="43" t="s">
        <v>288</v>
      </c>
      <c r="G7" s="44">
        <v>44593</v>
      </c>
      <c r="H7" s="44">
        <v>44621</v>
      </c>
      <c r="I7" s="44">
        <v>44652</v>
      </c>
      <c r="J7" s="44">
        <v>44682</v>
      </c>
      <c r="K7" s="44">
        <v>44713</v>
      </c>
      <c r="L7" s="44">
        <v>44743</v>
      </c>
      <c r="M7" s="44">
        <v>44774</v>
      </c>
      <c r="N7" s="44">
        <v>44805</v>
      </c>
      <c r="O7" s="44">
        <v>44835</v>
      </c>
      <c r="P7" s="44">
        <v>44866</v>
      </c>
      <c r="Q7" s="44">
        <v>44896</v>
      </c>
      <c r="R7" s="44">
        <v>44927</v>
      </c>
      <c r="S7" s="44">
        <v>44958</v>
      </c>
      <c r="T7" s="44">
        <v>44986</v>
      </c>
      <c r="U7" s="44">
        <v>45017</v>
      </c>
      <c r="V7" s="43" t="s">
        <v>8</v>
      </c>
    </row>
    <row r="8" spans="1:24" s="12" customFormat="1" ht="21" x14ac:dyDescent="0.35">
      <c r="A8" s="19">
        <v>1</v>
      </c>
      <c r="B8" s="20" t="s">
        <v>9</v>
      </c>
      <c r="C8" s="19" t="s">
        <v>163</v>
      </c>
      <c r="D8" s="21">
        <v>0</v>
      </c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>
        <v>48380</v>
      </c>
      <c r="Q8" s="21">
        <v>48380</v>
      </c>
      <c r="R8" s="21">
        <v>48380</v>
      </c>
      <c r="S8" s="21"/>
      <c r="T8" s="21"/>
      <c r="U8" s="21"/>
      <c r="V8" s="22">
        <f>(D8+E8+F8+ G8+ H8+ I8+ J8+ K8+ L8+M8+N8+O8+P8+Q8+R8+S8+T8+U8)</f>
        <v>145140</v>
      </c>
      <c r="X8" s="13"/>
    </row>
    <row r="9" spans="1:24" s="12" customFormat="1" ht="21" x14ac:dyDescent="0.35">
      <c r="A9" s="19">
        <v>2</v>
      </c>
      <c r="B9" s="20" t="s">
        <v>10</v>
      </c>
      <c r="C9" s="19" t="s">
        <v>164</v>
      </c>
      <c r="D9" s="21">
        <v>0</v>
      </c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2">
        <f>(D9+E9+F9+ G9+ H9+ I9+ J9+ K9+ L9+M9+N9+O9+P9+Q9+R9+S9+T9)</f>
        <v>0</v>
      </c>
      <c r="X9" s="13"/>
    </row>
    <row r="10" spans="1:24" s="12" customFormat="1" ht="21" x14ac:dyDescent="0.35">
      <c r="A10" s="19"/>
      <c r="B10" s="20" t="s">
        <v>11</v>
      </c>
      <c r="C10" s="19" t="s">
        <v>165</v>
      </c>
      <c r="D10" s="23">
        <v>97200</v>
      </c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>
        <v>39060</v>
      </c>
      <c r="S10" s="21">
        <v>35280</v>
      </c>
      <c r="T10" s="21"/>
      <c r="U10" s="21"/>
      <c r="V10" s="22">
        <f>(D10+E10+F10+ G10+ H10+ I10+ J10+ K10+ L10+M10+N10+O10+P10+Q10+R10+S10+T10)</f>
        <v>171540</v>
      </c>
      <c r="X10" s="13"/>
    </row>
    <row r="11" spans="1:24" s="12" customFormat="1" ht="21" x14ac:dyDescent="0.35">
      <c r="A11" s="19">
        <v>4</v>
      </c>
      <c r="B11" s="20" t="s">
        <v>12</v>
      </c>
      <c r="C11" s="19" t="s">
        <v>166</v>
      </c>
      <c r="D11" s="21">
        <v>0</v>
      </c>
      <c r="E11" s="21"/>
      <c r="F11" s="24"/>
      <c r="G11" s="24"/>
      <c r="H11" s="24"/>
      <c r="I11" s="21">
        <v>47520</v>
      </c>
      <c r="J11" s="21">
        <v>49320</v>
      </c>
      <c r="K11" s="21">
        <v>48240</v>
      </c>
      <c r="L11" s="21">
        <v>48600</v>
      </c>
      <c r="M11" s="21">
        <v>50040</v>
      </c>
      <c r="N11" s="21">
        <v>48240</v>
      </c>
      <c r="O11" s="21">
        <v>48600</v>
      </c>
      <c r="P11" s="21"/>
      <c r="Q11" s="21"/>
      <c r="R11" s="21">
        <v>49320</v>
      </c>
      <c r="S11" s="21"/>
      <c r="T11" s="21"/>
      <c r="U11" s="21"/>
      <c r="V11" s="22">
        <f t="shared" ref="V11:V73" si="0">(D11+E11+F11+ G11+ H11+ I11+ J11+ K11+ L11+M11+N11+O11+P11+Q11+R11+S11)</f>
        <v>389880</v>
      </c>
      <c r="X11" s="13"/>
    </row>
    <row r="12" spans="1:24" s="12" customFormat="1" ht="21" x14ac:dyDescent="0.35">
      <c r="A12" s="19">
        <v>5</v>
      </c>
      <c r="B12" s="20" t="s">
        <v>13</v>
      </c>
      <c r="C12" s="19" t="s">
        <v>167</v>
      </c>
      <c r="D12" s="21">
        <v>0</v>
      </c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>
        <v>100000</v>
      </c>
      <c r="P12" s="21">
        <f>(120000+46080)</f>
        <v>166080</v>
      </c>
      <c r="Q12" s="21">
        <f>(46080+49320)</f>
        <v>95400</v>
      </c>
      <c r="R12" s="21"/>
      <c r="S12" s="21"/>
      <c r="T12" s="21"/>
      <c r="U12" s="21"/>
      <c r="V12" s="22">
        <f t="shared" si="0"/>
        <v>361480</v>
      </c>
      <c r="X12" s="13"/>
    </row>
    <row r="13" spans="1:24" s="12" customFormat="1" ht="21" x14ac:dyDescent="0.35">
      <c r="A13" s="19">
        <v>6</v>
      </c>
      <c r="B13" s="20" t="s">
        <v>14</v>
      </c>
      <c r="C13" s="19" t="s">
        <v>168</v>
      </c>
      <c r="D13" s="21">
        <v>0</v>
      </c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2">
        <f t="shared" si="0"/>
        <v>0</v>
      </c>
      <c r="X13" s="13"/>
    </row>
    <row r="14" spans="1:24" s="12" customFormat="1" ht="21" x14ac:dyDescent="0.35">
      <c r="A14" s="19">
        <v>7</v>
      </c>
      <c r="B14" s="20" t="s">
        <v>15</v>
      </c>
      <c r="C14" s="19" t="s">
        <v>178</v>
      </c>
      <c r="D14" s="21">
        <v>0</v>
      </c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>
        <f>(40000+48000)</f>
        <v>88000</v>
      </c>
      <c r="U14" s="21"/>
      <c r="V14" s="22">
        <f>(D14+E14+F14+ G14+ H14+ I14+ J14+ K14+ L14+M14+N14+O14+P14+Q14+R14+S14+T14)</f>
        <v>88000</v>
      </c>
      <c r="X14" s="13"/>
    </row>
    <row r="15" spans="1:24" s="12" customFormat="1" ht="21" x14ac:dyDescent="0.35">
      <c r="A15" s="19">
        <v>8</v>
      </c>
      <c r="B15" s="20" t="s">
        <v>16</v>
      </c>
      <c r="C15" s="19" t="s">
        <v>170</v>
      </c>
      <c r="D15" s="21">
        <v>0</v>
      </c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2">
        <f>(D15+E15+F15+ G15+ H15+ I15+ J15+ K15+ L15+M15+N15+O15+P15+Q15+R15+S15+T15)</f>
        <v>0</v>
      </c>
      <c r="X15" s="13"/>
    </row>
    <row r="16" spans="1:24" s="12" customFormat="1" ht="21" x14ac:dyDescent="0.35">
      <c r="A16" s="19">
        <v>9</v>
      </c>
      <c r="B16" s="20" t="s">
        <v>17</v>
      </c>
      <c r="C16" s="19" t="s">
        <v>171</v>
      </c>
      <c r="D16" s="21">
        <v>0</v>
      </c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>
        <f>(123593.2)</f>
        <v>123593.2</v>
      </c>
      <c r="R16" s="21">
        <v>109362.4</v>
      </c>
      <c r="S16" s="21">
        <v>124637.5</v>
      </c>
      <c r="T16" s="21">
        <v>93928</v>
      </c>
      <c r="U16" s="21"/>
      <c r="V16" s="22">
        <f>(D16+E16+F16+ G16+ H16+ I16+ J16+ K16+ L16+M16+N16+O16+P16+Q16+R16+S16+T16)</f>
        <v>451521.1</v>
      </c>
      <c r="X16" s="13"/>
    </row>
    <row r="17" spans="1:24" s="12" customFormat="1" ht="21" x14ac:dyDescent="0.35">
      <c r="A17" s="19">
        <v>10</v>
      </c>
      <c r="B17" s="20" t="s">
        <v>18</v>
      </c>
      <c r="C17" s="19" t="s">
        <v>172</v>
      </c>
      <c r="D17" s="21">
        <v>1141844.1399999999</v>
      </c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2">
        <f t="shared" si="0"/>
        <v>1141844.1399999999</v>
      </c>
      <c r="X17" s="13"/>
    </row>
    <row r="18" spans="1:24" s="12" customFormat="1" ht="21" x14ac:dyDescent="0.35">
      <c r="A18" s="19">
        <v>11</v>
      </c>
      <c r="B18" s="20" t="s">
        <v>19</v>
      </c>
      <c r="C18" s="19" t="s">
        <v>173</v>
      </c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2">
        <f t="shared" si="0"/>
        <v>0</v>
      </c>
      <c r="X18" s="13"/>
    </row>
    <row r="19" spans="1:24" s="12" customFormat="1" ht="21" x14ac:dyDescent="0.35">
      <c r="A19" s="19">
        <v>12</v>
      </c>
      <c r="B19" s="20" t="s">
        <v>20</v>
      </c>
      <c r="C19" s="19" t="s">
        <v>168</v>
      </c>
      <c r="D19" s="21">
        <v>0</v>
      </c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>
        <v>101000</v>
      </c>
      <c r="U19" s="21"/>
      <c r="V19" s="22">
        <f>(D19+E19+F19+ G19+ H19+ I19+ J19+ K19+ L19+M19+N19+O19+P19+Q19+R19+S19+T19)</f>
        <v>101000</v>
      </c>
      <c r="X19" s="13"/>
    </row>
    <row r="20" spans="1:24" s="12" customFormat="1" ht="21" x14ac:dyDescent="0.35">
      <c r="A20" s="19">
        <v>13</v>
      </c>
      <c r="B20" s="20" t="s">
        <v>21</v>
      </c>
      <c r="C20" s="19" t="s">
        <v>174</v>
      </c>
      <c r="D20" s="21">
        <v>0</v>
      </c>
      <c r="E20" s="21">
        <v>30000</v>
      </c>
      <c r="F20" s="21"/>
      <c r="G20" s="21"/>
      <c r="H20" s="21"/>
      <c r="I20" s="21"/>
      <c r="J20" s="21"/>
      <c r="K20" s="21"/>
      <c r="L20" s="21"/>
      <c r="M20" s="21"/>
      <c r="N20" s="21">
        <v>10000</v>
      </c>
      <c r="O20" s="21">
        <v>10000</v>
      </c>
      <c r="P20" s="21"/>
      <c r="Q20" s="21"/>
      <c r="R20" s="21"/>
      <c r="S20" s="21"/>
      <c r="T20" s="21"/>
      <c r="U20" s="21"/>
      <c r="V20" s="22">
        <f t="shared" si="0"/>
        <v>50000</v>
      </c>
      <c r="X20" s="13"/>
    </row>
    <row r="21" spans="1:24" s="12" customFormat="1" ht="21" x14ac:dyDescent="0.35">
      <c r="A21" s="19">
        <v>14</v>
      </c>
      <c r="B21" s="20" t="s">
        <v>22</v>
      </c>
      <c r="C21" s="19" t="s">
        <v>224</v>
      </c>
      <c r="D21" s="21">
        <v>0</v>
      </c>
      <c r="E21" s="21">
        <v>12000</v>
      </c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2">
        <f t="shared" si="0"/>
        <v>12000</v>
      </c>
      <c r="X21" s="13"/>
    </row>
    <row r="22" spans="1:24" s="12" customFormat="1" ht="21" x14ac:dyDescent="0.35">
      <c r="A22" s="19">
        <v>15</v>
      </c>
      <c r="B22" s="20" t="s">
        <v>23</v>
      </c>
      <c r="C22" s="19" t="s">
        <v>176</v>
      </c>
      <c r="D22" s="21">
        <v>0</v>
      </c>
      <c r="E22" s="21">
        <v>0</v>
      </c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>
        <f>(254195.5+125901)</f>
        <v>380096.5</v>
      </c>
      <c r="U22" s="21"/>
      <c r="V22" s="22">
        <f>(D22+E22+F22+ G22+ H22+ I22+ J22+ K22+ L22+M22+N22+O22+P22+Q22+R22+S22+T22)</f>
        <v>380096.5</v>
      </c>
      <c r="X22" s="13"/>
    </row>
    <row r="23" spans="1:24" s="12" customFormat="1" ht="21" x14ac:dyDescent="0.35">
      <c r="A23" s="19">
        <v>16</v>
      </c>
      <c r="B23" s="20" t="s">
        <v>24</v>
      </c>
      <c r="C23" s="19" t="s">
        <v>177</v>
      </c>
      <c r="D23" s="21">
        <v>0</v>
      </c>
      <c r="E23" s="21">
        <v>0</v>
      </c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>
        <f>(87339.7+254354.04)</f>
        <v>341693.74</v>
      </c>
      <c r="U23" s="21"/>
      <c r="V23" s="22">
        <f>(D23+E23+F23+ G23+ H23+ I23+ J23+ K23+ L23+M23+N23+O23+P23+Q23+R23+S23+T23)</f>
        <v>341693.74</v>
      </c>
      <c r="X23" s="13"/>
    </row>
    <row r="24" spans="1:24" s="12" customFormat="1" ht="21" x14ac:dyDescent="0.35">
      <c r="A24" s="19">
        <v>17</v>
      </c>
      <c r="B24" s="20" t="s">
        <v>25</v>
      </c>
      <c r="C24" s="19"/>
      <c r="D24" s="21">
        <v>0</v>
      </c>
      <c r="E24" s="21">
        <v>0</v>
      </c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2">
        <f t="shared" si="0"/>
        <v>0</v>
      </c>
      <c r="X24" s="13"/>
    </row>
    <row r="25" spans="1:24" s="12" customFormat="1" ht="21" x14ac:dyDescent="0.35">
      <c r="A25" s="19">
        <v>18</v>
      </c>
      <c r="B25" s="20" t="s">
        <v>245</v>
      </c>
      <c r="C25" s="19" t="s">
        <v>178</v>
      </c>
      <c r="D25" s="21">
        <v>0</v>
      </c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2">
        <f t="shared" si="0"/>
        <v>0</v>
      </c>
      <c r="X25" s="13"/>
    </row>
    <row r="26" spans="1:24" s="12" customFormat="1" ht="21" x14ac:dyDescent="0.35">
      <c r="A26" s="19">
        <v>19</v>
      </c>
      <c r="B26" s="20" t="s">
        <v>26</v>
      </c>
      <c r="C26" s="19" t="s">
        <v>263</v>
      </c>
      <c r="D26" s="23">
        <f>(3600+13711.7)</f>
        <v>17311.7</v>
      </c>
      <c r="E26" s="21">
        <v>7851.24</v>
      </c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2">
        <f t="shared" si="0"/>
        <v>25162.940000000002</v>
      </c>
      <c r="X26" s="13"/>
    </row>
    <row r="27" spans="1:24" s="12" customFormat="1" ht="21" x14ac:dyDescent="0.35">
      <c r="A27" s="19">
        <v>20</v>
      </c>
      <c r="B27" s="20" t="s">
        <v>27</v>
      </c>
      <c r="C27" s="19"/>
      <c r="D27" s="21">
        <v>0</v>
      </c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2">
        <f t="shared" si="0"/>
        <v>0</v>
      </c>
      <c r="X27" s="13"/>
    </row>
    <row r="28" spans="1:24" s="12" customFormat="1" ht="21" x14ac:dyDescent="0.35">
      <c r="A28" s="19">
        <v>21</v>
      </c>
      <c r="B28" s="20" t="s">
        <v>28</v>
      </c>
      <c r="C28" s="19" t="s">
        <v>178</v>
      </c>
      <c r="D28" s="21">
        <v>86700</v>
      </c>
      <c r="E28" s="21">
        <v>0</v>
      </c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2">
        <f t="shared" si="0"/>
        <v>86700</v>
      </c>
      <c r="X28" s="13"/>
    </row>
    <row r="29" spans="1:24" s="12" customFormat="1" ht="21" x14ac:dyDescent="0.35">
      <c r="A29" s="19">
        <v>22</v>
      </c>
      <c r="B29" s="20" t="s">
        <v>29</v>
      </c>
      <c r="C29" s="19" t="s">
        <v>168</v>
      </c>
      <c r="D29" s="21">
        <v>0</v>
      </c>
      <c r="E29" s="21">
        <v>0</v>
      </c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2">
        <f t="shared" si="0"/>
        <v>0</v>
      </c>
      <c r="X29" s="13"/>
    </row>
    <row r="30" spans="1:24" s="12" customFormat="1" ht="21" x14ac:dyDescent="0.35">
      <c r="A30" s="19">
        <v>23</v>
      </c>
      <c r="B30" s="20" t="s">
        <v>30</v>
      </c>
      <c r="C30" s="19" t="s">
        <v>179</v>
      </c>
      <c r="D30" s="23">
        <v>17995</v>
      </c>
      <c r="E30" s="21">
        <v>0</v>
      </c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2">
        <f t="shared" si="0"/>
        <v>17995</v>
      </c>
      <c r="X30" s="13"/>
    </row>
    <row r="31" spans="1:24" s="12" customFormat="1" ht="21" x14ac:dyDescent="0.35">
      <c r="A31" s="19">
        <v>24</v>
      </c>
      <c r="B31" s="20" t="s">
        <v>31</v>
      </c>
      <c r="C31" s="19" t="s">
        <v>180</v>
      </c>
      <c r="D31" s="21">
        <v>90000</v>
      </c>
      <c r="E31" s="21">
        <v>0</v>
      </c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2">
        <f t="shared" si="0"/>
        <v>90000</v>
      </c>
      <c r="X31" s="13"/>
    </row>
    <row r="32" spans="1:24" s="12" customFormat="1" ht="17.25" customHeight="1" x14ac:dyDescent="0.35">
      <c r="A32" s="19">
        <v>25</v>
      </c>
      <c r="B32" s="20" t="s">
        <v>32</v>
      </c>
      <c r="C32" s="19" t="s">
        <v>181</v>
      </c>
      <c r="D32" s="21">
        <v>0</v>
      </c>
      <c r="E32" s="21">
        <v>0</v>
      </c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2">
        <f t="shared" si="0"/>
        <v>0</v>
      </c>
      <c r="X32" s="13"/>
    </row>
    <row r="33" spans="1:24" s="12" customFormat="1" ht="22.5" customHeight="1" x14ac:dyDescent="0.35">
      <c r="A33" s="19">
        <v>26</v>
      </c>
      <c r="B33" s="20" t="s">
        <v>33</v>
      </c>
      <c r="C33" s="19" t="s">
        <v>182</v>
      </c>
      <c r="D33" s="21">
        <v>90975</v>
      </c>
      <c r="E33" s="21">
        <v>90550</v>
      </c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2">
        <f t="shared" si="0"/>
        <v>181525</v>
      </c>
      <c r="X33" s="13"/>
    </row>
    <row r="34" spans="1:24" s="12" customFormat="1" ht="24.75" customHeight="1" x14ac:dyDescent="0.35">
      <c r="A34" s="19">
        <v>27</v>
      </c>
      <c r="B34" s="20" t="s">
        <v>264</v>
      </c>
      <c r="C34" s="19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2">
        <f t="shared" si="0"/>
        <v>0</v>
      </c>
      <c r="X34" s="13"/>
    </row>
    <row r="35" spans="1:24" s="12" customFormat="1" ht="22.5" customHeight="1" x14ac:dyDescent="0.35">
      <c r="A35" s="19">
        <v>28</v>
      </c>
      <c r="B35" s="20" t="s">
        <v>34</v>
      </c>
      <c r="C35" s="19" t="s">
        <v>183</v>
      </c>
      <c r="D35" s="21">
        <v>149659.4</v>
      </c>
      <c r="E35" s="21">
        <v>0</v>
      </c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2">
        <f t="shared" si="0"/>
        <v>149659.4</v>
      </c>
      <c r="X35" s="13"/>
    </row>
    <row r="36" spans="1:24" s="12" customFormat="1" ht="23.25" customHeight="1" x14ac:dyDescent="0.35">
      <c r="A36" s="19">
        <v>29</v>
      </c>
      <c r="B36" s="20" t="s">
        <v>35</v>
      </c>
      <c r="C36" s="19" t="s">
        <v>184</v>
      </c>
      <c r="D36" s="21">
        <v>0</v>
      </c>
      <c r="E36" s="21"/>
      <c r="F36" s="25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2">
        <f t="shared" si="0"/>
        <v>0</v>
      </c>
      <c r="X36" s="13"/>
    </row>
    <row r="37" spans="1:24" s="12" customFormat="1" ht="25.5" customHeight="1" x14ac:dyDescent="0.35">
      <c r="A37" s="19">
        <v>30</v>
      </c>
      <c r="B37" s="20" t="s">
        <v>269</v>
      </c>
      <c r="C37" s="19" t="s">
        <v>178</v>
      </c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>
        <f>(109600+59000+59000+59000)</f>
        <v>286600</v>
      </c>
      <c r="R37" s="21">
        <f>(162542.3+30072.3+102694)</f>
        <v>295308.59999999998</v>
      </c>
      <c r="S37" s="21">
        <f>(49572.3+118692.4+4948.92)</f>
        <v>173213.62000000002</v>
      </c>
      <c r="T37" s="21">
        <f>(30860+61250)</f>
        <v>92110</v>
      </c>
      <c r="U37" s="21"/>
      <c r="V37" s="22">
        <f>(D37+E37+F37+ G37+ H37+ I37+ J37+ K37+ L37+M37+N37+O37+P37+Q37+R37+S37+T37)</f>
        <v>847232.22</v>
      </c>
      <c r="X37" s="13"/>
    </row>
    <row r="38" spans="1:24" s="12" customFormat="1" ht="20.25" customHeight="1" x14ac:dyDescent="0.35">
      <c r="A38" s="19">
        <v>31</v>
      </c>
      <c r="B38" s="20" t="s">
        <v>36</v>
      </c>
      <c r="C38" s="19" t="s">
        <v>166</v>
      </c>
      <c r="D38" s="21">
        <v>0</v>
      </c>
      <c r="E38" s="21">
        <v>0</v>
      </c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2">
        <f t="shared" si="0"/>
        <v>0</v>
      </c>
      <c r="X38" s="13"/>
    </row>
    <row r="39" spans="1:24" s="12" customFormat="1" ht="19.5" customHeight="1" x14ac:dyDescent="0.35">
      <c r="A39" s="19">
        <v>32</v>
      </c>
      <c r="B39" s="20" t="s">
        <v>283</v>
      </c>
      <c r="C39" s="19" t="s">
        <v>284</v>
      </c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>
        <v>6000</v>
      </c>
      <c r="R39" s="21"/>
      <c r="S39" s="21"/>
      <c r="T39" s="21"/>
      <c r="U39" s="21"/>
      <c r="V39" s="22">
        <f t="shared" si="0"/>
        <v>6000</v>
      </c>
      <c r="X39" s="13"/>
    </row>
    <row r="40" spans="1:24" s="12" customFormat="1" ht="19.5" customHeight="1" x14ac:dyDescent="0.35">
      <c r="A40" s="19"/>
      <c r="B40" s="20" t="s">
        <v>292</v>
      </c>
      <c r="C40" s="19" t="s">
        <v>293</v>
      </c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2">
        <f t="shared" si="0"/>
        <v>0</v>
      </c>
      <c r="X40" s="13"/>
    </row>
    <row r="41" spans="1:24" s="12" customFormat="1" ht="24.75" customHeight="1" x14ac:dyDescent="0.35">
      <c r="A41" s="19">
        <v>33</v>
      </c>
      <c r="B41" s="20" t="s">
        <v>37</v>
      </c>
      <c r="C41" s="19" t="s">
        <v>185</v>
      </c>
      <c r="D41" s="21">
        <v>45400</v>
      </c>
      <c r="E41" s="21"/>
      <c r="F41" s="21">
        <f>(21208.99+23611.39)</f>
        <v>44820.380000000005</v>
      </c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2">
        <f t="shared" si="0"/>
        <v>90220.38</v>
      </c>
      <c r="X41" s="13"/>
    </row>
    <row r="42" spans="1:24" s="12" customFormat="1" ht="20.25" customHeight="1" x14ac:dyDescent="0.35">
      <c r="A42" s="19">
        <v>34</v>
      </c>
      <c r="B42" s="20" t="s">
        <v>38</v>
      </c>
      <c r="C42" s="19" t="s">
        <v>186</v>
      </c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>
        <v>25600.01</v>
      </c>
      <c r="T42" s="21">
        <v>24006.49</v>
      </c>
      <c r="U42" s="21"/>
      <c r="V42" s="22">
        <f>(D42+E42+F42+ G42+ H42+ I42+ J42+ K42+ L42+M42+N42+O42+P42+Q42+R42+S42+T42)</f>
        <v>49606.5</v>
      </c>
      <c r="X42" s="13"/>
    </row>
    <row r="43" spans="1:24" s="12" customFormat="1" ht="21" customHeight="1" x14ac:dyDescent="0.35">
      <c r="A43" s="19">
        <v>35</v>
      </c>
      <c r="B43" s="20" t="s">
        <v>39</v>
      </c>
      <c r="C43" s="19" t="s">
        <v>187</v>
      </c>
      <c r="D43" s="21">
        <v>1167856.02</v>
      </c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2">
        <f t="shared" si="0"/>
        <v>1167856.02</v>
      </c>
      <c r="W43" s="12" t="s">
        <v>281</v>
      </c>
      <c r="X43" s="13"/>
    </row>
    <row r="44" spans="1:24" s="12" customFormat="1" ht="21" customHeight="1" x14ac:dyDescent="0.35">
      <c r="A44" s="19">
        <v>36</v>
      </c>
      <c r="B44" s="20" t="s">
        <v>40</v>
      </c>
      <c r="C44" s="19" t="s">
        <v>176</v>
      </c>
      <c r="D44" s="21">
        <v>12950</v>
      </c>
      <c r="E44" s="21"/>
      <c r="F44" s="24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>
        <v>92500</v>
      </c>
      <c r="S44" s="21"/>
      <c r="T44" s="21"/>
      <c r="U44" s="21"/>
      <c r="V44" s="22">
        <f t="shared" si="0"/>
        <v>105450</v>
      </c>
      <c r="X44" s="13"/>
    </row>
    <row r="45" spans="1:24" s="12" customFormat="1" ht="19.5" customHeight="1" x14ac:dyDescent="0.35">
      <c r="A45" s="19">
        <v>37</v>
      </c>
      <c r="B45" s="20" t="s">
        <v>41</v>
      </c>
      <c r="C45" s="19" t="s">
        <v>168</v>
      </c>
      <c r="D45" s="21">
        <v>0</v>
      </c>
      <c r="E45" s="21"/>
      <c r="F45" s="21"/>
      <c r="G45" s="24"/>
      <c r="H45" s="24"/>
      <c r="I45" s="25"/>
      <c r="J45" s="25"/>
      <c r="K45" s="25"/>
      <c r="L45" s="25"/>
      <c r="M45" s="25"/>
      <c r="N45" s="25"/>
      <c r="O45" s="25"/>
      <c r="P45" s="21"/>
      <c r="Q45" s="21"/>
      <c r="R45" s="21">
        <v>127015.2</v>
      </c>
      <c r="S45" s="21">
        <v>127440</v>
      </c>
      <c r="T45" s="21">
        <f>(114981.15+34856+52644)</f>
        <v>202481.15</v>
      </c>
      <c r="U45" s="21">
        <f>(125353.2+204960)</f>
        <v>330313.2</v>
      </c>
      <c r="V45" s="22">
        <f>(D45+E45+F45+G45+H45+I45+J45+K45+L45+M45+N45+O45+P45+Q45+R45+S45+T45+U45)</f>
        <v>787249.55</v>
      </c>
      <c r="X45" s="13"/>
    </row>
    <row r="46" spans="1:24" s="12" customFormat="1" ht="23.25" customHeight="1" x14ac:dyDescent="0.35">
      <c r="A46" s="19">
        <v>38</v>
      </c>
      <c r="B46" s="20" t="s">
        <v>42</v>
      </c>
      <c r="C46" s="19" t="s">
        <v>188</v>
      </c>
      <c r="D46" s="21">
        <v>0</v>
      </c>
      <c r="E46" s="21">
        <v>0</v>
      </c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2">
        <f t="shared" si="0"/>
        <v>0</v>
      </c>
      <c r="X46" s="13"/>
    </row>
    <row r="47" spans="1:24" s="12" customFormat="1" ht="19.5" customHeight="1" x14ac:dyDescent="0.35">
      <c r="A47" s="19">
        <v>39</v>
      </c>
      <c r="B47" s="20" t="s">
        <v>43</v>
      </c>
      <c r="C47" s="19" t="s">
        <v>172</v>
      </c>
      <c r="D47" s="21">
        <v>11234</v>
      </c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2">
        <f t="shared" si="0"/>
        <v>11234</v>
      </c>
      <c r="X47" s="13"/>
    </row>
    <row r="48" spans="1:24" s="12" customFormat="1" ht="23.25" customHeight="1" x14ac:dyDescent="0.35">
      <c r="A48" s="19">
        <v>40</v>
      </c>
      <c r="B48" s="20" t="s">
        <v>44</v>
      </c>
      <c r="C48" s="19" t="s">
        <v>189</v>
      </c>
      <c r="D48" s="21">
        <v>272921.38</v>
      </c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2">
        <f t="shared" si="0"/>
        <v>272921.38</v>
      </c>
      <c r="X48" s="13"/>
    </row>
    <row r="49" spans="1:24" s="12" customFormat="1" ht="27.75" customHeight="1" x14ac:dyDescent="0.35">
      <c r="A49" s="19">
        <v>41</v>
      </c>
      <c r="B49" s="20" t="s">
        <v>45</v>
      </c>
      <c r="C49" s="19" t="s">
        <v>190</v>
      </c>
      <c r="D49" s="21">
        <v>0</v>
      </c>
      <c r="E49" s="21">
        <v>1539.9</v>
      </c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2">
        <f t="shared" si="0"/>
        <v>1539.9</v>
      </c>
      <c r="X49" s="13"/>
    </row>
    <row r="50" spans="1:24" s="12" customFormat="1" ht="24" customHeight="1" x14ac:dyDescent="0.35">
      <c r="A50" s="19">
        <v>42</v>
      </c>
      <c r="B50" s="20" t="s">
        <v>46</v>
      </c>
      <c r="C50" s="19" t="s">
        <v>173</v>
      </c>
      <c r="D50" s="21">
        <v>0</v>
      </c>
      <c r="E50" s="21">
        <v>0</v>
      </c>
      <c r="F50" s="21"/>
      <c r="G50" s="21"/>
      <c r="H50" s="21">
        <v>27834.5</v>
      </c>
      <c r="I50" s="21"/>
      <c r="J50" s="21"/>
      <c r="K50" s="21"/>
      <c r="L50" s="21">
        <v>7375</v>
      </c>
      <c r="M50" s="21">
        <v>17759</v>
      </c>
      <c r="N50" s="21"/>
      <c r="O50" s="21"/>
      <c r="P50" s="21">
        <v>18703</v>
      </c>
      <c r="Q50" s="21">
        <v>17159</v>
      </c>
      <c r="R50" s="21">
        <v>12508</v>
      </c>
      <c r="S50" s="21">
        <v>22302</v>
      </c>
      <c r="T50" s="21"/>
      <c r="U50" s="21"/>
      <c r="V50" s="22">
        <f t="shared" si="0"/>
        <v>123640.5</v>
      </c>
      <c r="X50" s="13"/>
    </row>
    <row r="51" spans="1:24" s="12" customFormat="1" ht="20.25" customHeight="1" x14ac:dyDescent="0.35">
      <c r="A51" s="19">
        <v>43</v>
      </c>
      <c r="B51" s="20" t="s">
        <v>279</v>
      </c>
      <c r="C51" s="19" t="s">
        <v>280</v>
      </c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>
        <v>35252.5</v>
      </c>
      <c r="T51" s="21"/>
      <c r="U51" s="21"/>
      <c r="V51" s="22">
        <f t="shared" si="0"/>
        <v>35252.5</v>
      </c>
      <c r="X51" s="13"/>
    </row>
    <row r="52" spans="1:24" s="12" customFormat="1" ht="20.25" customHeight="1" x14ac:dyDescent="0.35">
      <c r="A52" s="19">
        <v>44</v>
      </c>
      <c r="B52" s="20" t="s">
        <v>47</v>
      </c>
      <c r="C52" s="19" t="s">
        <v>186</v>
      </c>
      <c r="D52" s="21">
        <v>423595</v>
      </c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2">
        <f t="shared" si="0"/>
        <v>423595</v>
      </c>
      <c r="X52" s="13"/>
    </row>
    <row r="53" spans="1:24" s="12" customFormat="1" ht="21" customHeight="1" x14ac:dyDescent="0.35">
      <c r="A53" s="19">
        <v>45</v>
      </c>
      <c r="B53" s="20" t="s">
        <v>48</v>
      </c>
      <c r="C53" s="19" t="s">
        <v>191</v>
      </c>
      <c r="D53" s="21">
        <v>159730.70000000001</v>
      </c>
      <c r="E53" s="21">
        <v>0</v>
      </c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2">
        <f t="shared" si="0"/>
        <v>159730.70000000001</v>
      </c>
      <c r="X53" s="13"/>
    </row>
    <row r="54" spans="1:24" s="12" customFormat="1" ht="19.5" customHeight="1" x14ac:dyDescent="0.35">
      <c r="A54" s="19">
        <v>46</v>
      </c>
      <c r="B54" s="20" t="s">
        <v>49</v>
      </c>
      <c r="C54" s="19" t="s">
        <v>192</v>
      </c>
      <c r="D54" s="21">
        <v>263782.18000000005</v>
      </c>
      <c r="E54" s="21">
        <v>0</v>
      </c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2">
        <f t="shared" si="0"/>
        <v>263782.18000000005</v>
      </c>
      <c r="X54" s="13"/>
    </row>
    <row r="55" spans="1:24" s="12" customFormat="1" ht="28.5" customHeight="1" x14ac:dyDescent="0.35">
      <c r="A55" s="19">
        <v>47</v>
      </c>
      <c r="B55" s="20" t="s">
        <v>265</v>
      </c>
      <c r="C55" s="19" t="s">
        <v>193</v>
      </c>
      <c r="D55" s="21"/>
      <c r="E55" s="21">
        <f>(62000+45020)</f>
        <v>107020</v>
      </c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2">
        <f t="shared" si="0"/>
        <v>107020</v>
      </c>
      <c r="X55" s="13"/>
    </row>
    <row r="56" spans="1:24" s="12" customFormat="1" ht="24.75" customHeight="1" x14ac:dyDescent="0.35">
      <c r="A56" s="19">
        <v>48</v>
      </c>
      <c r="B56" s="20" t="s">
        <v>50</v>
      </c>
      <c r="C56" s="19" t="s">
        <v>194</v>
      </c>
      <c r="D56" s="26"/>
      <c r="E56" s="26">
        <v>0</v>
      </c>
      <c r="F56" s="21">
        <f>(158280+163904)</f>
        <v>322184</v>
      </c>
      <c r="G56" s="21">
        <v>5000</v>
      </c>
      <c r="H56" s="21"/>
      <c r="I56" s="21"/>
      <c r="J56" s="21"/>
      <c r="K56" s="21"/>
      <c r="L56" s="21"/>
      <c r="M56" s="21"/>
      <c r="N56" s="21"/>
      <c r="O56" s="21"/>
      <c r="P56" s="26"/>
      <c r="Q56" s="21"/>
      <c r="R56" s="21"/>
      <c r="S56" s="21"/>
      <c r="T56" s="21"/>
      <c r="U56" s="21"/>
      <c r="V56" s="22">
        <f t="shared" si="0"/>
        <v>327184</v>
      </c>
      <c r="X56" s="13"/>
    </row>
    <row r="57" spans="1:24" s="12" customFormat="1" ht="24" customHeight="1" x14ac:dyDescent="0.35">
      <c r="A57" s="19">
        <v>49</v>
      </c>
      <c r="B57" s="20" t="s">
        <v>51</v>
      </c>
      <c r="C57" s="19" t="s">
        <v>187</v>
      </c>
      <c r="D57" s="21">
        <v>0</v>
      </c>
      <c r="E57" s="21">
        <v>0</v>
      </c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>
        <v>71781</v>
      </c>
      <c r="Q57" s="21">
        <f>(82865.85+83906.85)</f>
        <v>166772.70000000001</v>
      </c>
      <c r="R57" s="21"/>
      <c r="S57" s="21">
        <f>(111969+49020+36034.65)</f>
        <v>197023.65</v>
      </c>
      <c r="T57" s="21"/>
      <c r="U57" s="21"/>
      <c r="V57" s="22">
        <f t="shared" si="0"/>
        <v>435577.35</v>
      </c>
      <c r="W57" s="14"/>
      <c r="X57" s="13" t="s">
        <v>258</v>
      </c>
    </row>
    <row r="58" spans="1:24" s="12" customFormat="1" ht="21" customHeight="1" x14ac:dyDescent="0.35">
      <c r="A58" s="19">
        <v>50</v>
      </c>
      <c r="B58" s="20" t="s">
        <v>262</v>
      </c>
      <c r="C58" s="19" t="s">
        <v>178</v>
      </c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2">
        <f t="shared" si="0"/>
        <v>0</v>
      </c>
      <c r="W58" s="14"/>
      <c r="X58" s="13"/>
    </row>
    <row r="59" spans="1:24" s="12" customFormat="1" ht="22.5" customHeight="1" x14ac:dyDescent="0.35">
      <c r="A59" s="19">
        <v>51</v>
      </c>
      <c r="B59" s="20" t="s">
        <v>52</v>
      </c>
      <c r="C59" s="19" t="s">
        <v>178</v>
      </c>
      <c r="D59" s="23">
        <v>14250</v>
      </c>
      <c r="E59" s="21"/>
      <c r="F59" s="21"/>
      <c r="G59" s="21"/>
      <c r="H59" s="21">
        <f>(8190+875)</f>
        <v>9065</v>
      </c>
      <c r="I59" s="21">
        <f>(1072.5+1529.9+4648.4)</f>
        <v>7250.7999999999993</v>
      </c>
      <c r="J59" s="21">
        <f>(410+10800.4+7780.5+9750+14625+995.8+1598.3)</f>
        <v>45960.000000000007</v>
      </c>
      <c r="K59" s="21">
        <f>(2679.92+802.32+3034.15+2379+1825.2+169)</f>
        <v>10889.59</v>
      </c>
      <c r="L59" s="21">
        <f>(1107.5+437.65)</f>
        <v>1545.15</v>
      </c>
      <c r="M59" s="21">
        <f>(4555.2+2815.3+1521+14040+1183+1559)</f>
        <v>25673.5</v>
      </c>
      <c r="N59" s="21">
        <f>(481+2176+238.3+5485.2+6240+889.5+875.3+3390)</f>
        <v>19775.3</v>
      </c>
      <c r="O59" s="21">
        <f>(24157.5+7780.5+1959+3305.6+6500+18852+1509.61+1000)</f>
        <v>65064.21</v>
      </c>
      <c r="P59" s="21">
        <f>(1410.8+5616+4266.02+5610.6)</f>
        <v>16903.419999999998</v>
      </c>
      <c r="Q59" s="21">
        <f>(1937+1013.15+1350.03+3757.6+1028.1+13000+1127.5)</f>
        <v>23213.38</v>
      </c>
      <c r="R59" s="21">
        <f>(345.6+345.6+508.14+1803.8+1036.8+2314.92+10835)</f>
        <v>17189.86</v>
      </c>
      <c r="S59" s="21">
        <f>(2303.6+2880.45+495.84+284.2+13002+3558.75+62.4+4628.92+52.78)</f>
        <v>27268.940000000002</v>
      </c>
      <c r="T59" s="21">
        <f>(9750+4940)</f>
        <v>14690</v>
      </c>
      <c r="U59" s="21"/>
      <c r="V59" s="22">
        <f>(D59+E59+F59+ G59+ H59+ I59+ J59+ K59+ L59+M59+N59+O59+P59+Q59+R59+S59+T59)</f>
        <v>298739.14999999997</v>
      </c>
      <c r="X59" s="13"/>
    </row>
    <row r="60" spans="1:24" s="12" customFormat="1" ht="19.5" customHeight="1" x14ac:dyDescent="0.35">
      <c r="A60" s="19">
        <v>52</v>
      </c>
      <c r="B60" s="20" t="s">
        <v>53</v>
      </c>
      <c r="C60" s="19" t="s">
        <v>178</v>
      </c>
      <c r="D60" s="21">
        <v>179900</v>
      </c>
      <c r="E60" s="21">
        <v>0</v>
      </c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2">
        <f t="shared" si="0"/>
        <v>179900</v>
      </c>
      <c r="X60" s="13"/>
    </row>
    <row r="61" spans="1:24" s="12" customFormat="1" ht="18.75" customHeight="1" x14ac:dyDescent="0.35">
      <c r="A61" s="19">
        <v>53</v>
      </c>
      <c r="B61" s="20" t="s">
        <v>54</v>
      </c>
      <c r="C61" s="19" t="s">
        <v>195</v>
      </c>
      <c r="D61" s="21">
        <v>0</v>
      </c>
      <c r="E61" s="21">
        <v>0</v>
      </c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2">
        <f t="shared" si="0"/>
        <v>0</v>
      </c>
      <c r="X61" s="13"/>
    </row>
    <row r="62" spans="1:24" s="12" customFormat="1" ht="24" customHeight="1" x14ac:dyDescent="0.35">
      <c r="A62" s="19">
        <v>54</v>
      </c>
      <c r="B62" s="20" t="s">
        <v>55</v>
      </c>
      <c r="C62" s="19" t="s">
        <v>196</v>
      </c>
      <c r="D62" s="23">
        <v>3996.36</v>
      </c>
      <c r="E62" s="21">
        <v>0</v>
      </c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2">
        <f t="shared" si="0"/>
        <v>3996.36</v>
      </c>
      <c r="X62" s="13"/>
    </row>
    <row r="63" spans="1:24" s="12" customFormat="1" ht="21.75" customHeight="1" x14ac:dyDescent="0.35">
      <c r="A63" s="19">
        <v>55</v>
      </c>
      <c r="B63" s="20" t="s">
        <v>56</v>
      </c>
      <c r="C63" s="19" t="s">
        <v>197</v>
      </c>
      <c r="D63" s="21">
        <v>199954.44000000006</v>
      </c>
      <c r="E63" s="21">
        <v>0</v>
      </c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2">
        <f t="shared" si="0"/>
        <v>199954.44000000006</v>
      </c>
      <c r="X63" s="13"/>
    </row>
    <row r="64" spans="1:24" s="12" customFormat="1" ht="18.75" customHeight="1" x14ac:dyDescent="0.35">
      <c r="A64" s="19">
        <v>56</v>
      </c>
      <c r="B64" s="20" t="s">
        <v>57</v>
      </c>
      <c r="C64" s="19" t="s">
        <v>198</v>
      </c>
      <c r="D64" s="21">
        <v>0</v>
      </c>
      <c r="E64" s="21">
        <v>0</v>
      </c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2">
        <f t="shared" si="0"/>
        <v>0</v>
      </c>
      <c r="X64" s="13"/>
    </row>
    <row r="65" spans="1:24" s="12" customFormat="1" ht="21" customHeight="1" x14ac:dyDescent="0.35">
      <c r="A65" s="19">
        <v>57</v>
      </c>
      <c r="B65" s="20" t="s">
        <v>58</v>
      </c>
      <c r="C65" s="19" t="s">
        <v>199</v>
      </c>
      <c r="D65" s="21">
        <v>1440139</v>
      </c>
      <c r="E65" s="21">
        <v>0</v>
      </c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>
        <v>500000</v>
      </c>
      <c r="U65" s="21"/>
      <c r="V65" s="22">
        <f>(D65+E65+F65+ G65+ H65+ I65+ J65+ K65+ L65+M65+N65+O65+P65+Q65+R65+S65+T65)</f>
        <v>1940139</v>
      </c>
      <c r="X65" s="13"/>
    </row>
    <row r="66" spans="1:24" s="12" customFormat="1" ht="19.5" customHeight="1" x14ac:dyDescent="0.35">
      <c r="A66" s="19">
        <v>58</v>
      </c>
      <c r="B66" s="20" t="s">
        <v>59</v>
      </c>
      <c r="C66" s="19" t="s">
        <v>200</v>
      </c>
      <c r="D66" s="21"/>
      <c r="E66" s="21">
        <v>0</v>
      </c>
      <c r="F66" s="24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2">
        <f t="shared" si="0"/>
        <v>0</v>
      </c>
      <c r="X66" s="13"/>
    </row>
    <row r="67" spans="1:24" s="12" customFormat="1" ht="21" customHeight="1" x14ac:dyDescent="0.35">
      <c r="A67" s="19">
        <v>59</v>
      </c>
      <c r="B67" s="20" t="s">
        <v>60</v>
      </c>
      <c r="C67" s="19" t="s">
        <v>178</v>
      </c>
      <c r="D67" s="21"/>
      <c r="E67" s="21"/>
      <c r="F67" s="21"/>
      <c r="G67" s="24"/>
      <c r="H67" s="24"/>
      <c r="I67" s="24"/>
      <c r="J67" s="24"/>
      <c r="K67" s="24"/>
      <c r="L67" s="24"/>
      <c r="M67" s="24"/>
      <c r="N67" s="24"/>
      <c r="O67" s="24"/>
      <c r="P67" s="21"/>
      <c r="Q67" s="21"/>
      <c r="R67" s="21"/>
      <c r="S67" s="21"/>
      <c r="T67" s="21">
        <v>182606.64</v>
      </c>
      <c r="U67" s="21">
        <v>192500</v>
      </c>
      <c r="V67" s="22">
        <f>(D67+E67+F67+ G67+ H67+ I67+ J67+ K67+ L67+M67+N67+O67+P67+Q67+R67+S67+T67+U67)</f>
        <v>375106.64</v>
      </c>
      <c r="X67" s="13"/>
    </row>
    <row r="68" spans="1:24" s="12" customFormat="1" ht="20.25" customHeight="1" x14ac:dyDescent="0.35">
      <c r="A68" s="19">
        <v>60</v>
      </c>
      <c r="B68" s="20" t="s">
        <v>61</v>
      </c>
      <c r="C68" s="19" t="s">
        <v>197</v>
      </c>
      <c r="D68" s="21"/>
      <c r="E68" s="21">
        <v>0</v>
      </c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>
        <v>61237</v>
      </c>
      <c r="U68" s="21"/>
      <c r="V68" s="22">
        <f>(D68+E68+F68+ G68+ H68+ I68+ J68+ K68+ L68+M68+N68+O68+P68+Q68+R68+S68+T68)</f>
        <v>61237</v>
      </c>
      <c r="X68" s="13"/>
    </row>
    <row r="69" spans="1:24" s="12" customFormat="1" ht="22.5" customHeight="1" x14ac:dyDescent="0.35">
      <c r="A69" s="19">
        <v>61</v>
      </c>
      <c r="B69" s="20" t="s">
        <v>62</v>
      </c>
      <c r="C69" s="19" t="s">
        <v>201</v>
      </c>
      <c r="D69" s="23">
        <v>1400</v>
      </c>
      <c r="E69" s="21">
        <v>0</v>
      </c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2">
        <f t="shared" si="0"/>
        <v>1400</v>
      </c>
      <c r="X69" s="13"/>
    </row>
    <row r="70" spans="1:24" s="12" customFormat="1" ht="21.75" customHeight="1" x14ac:dyDescent="0.35">
      <c r="A70" s="19">
        <v>62</v>
      </c>
      <c r="B70" s="20" t="s">
        <v>63</v>
      </c>
      <c r="C70" s="19" t="s">
        <v>168</v>
      </c>
      <c r="D70" s="21">
        <v>0</v>
      </c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2">
        <f t="shared" si="0"/>
        <v>0</v>
      </c>
      <c r="X70" s="13"/>
    </row>
    <row r="71" spans="1:24" s="12" customFormat="1" ht="18.75" customHeight="1" x14ac:dyDescent="0.35">
      <c r="A71" s="19">
        <v>63</v>
      </c>
      <c r="B71" s="20" t="s">
        <v>64</v>
      </c>
      <c r="C71" s="19" t="s">
        <v>187</v>
      </c>
      <c r="D71" s="21">
        <v>120000</v>
      </c>
      <c r="E71" s="21">
        <v>0</v>
      </c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>
        <v>11000</v>
      </c>
      <c r="T71" s="21"/>
      <c r="U71" s="21"/>
      <c r="V71" s="22">
        <f t="shared" si="0"/>
        <v>131000</v>
      </c>
      <c r="X71" s="13"/>
    </row>
    <row r="72" spans="1:24" s="12" customFormat="1" ht="23.25" customHeight="1" x14ac:dyDescent="0.35">
      <c r="A72" s="19">
        <v>64</v>
      </c>
      <c r="B72" s="20" t="s">
        <v>270</v>
      </c>
      <c r="C72" s="19" t="s">
        <v>271</v>
      </c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2">
        <f t="shared" si="0"/>
        <v>0</v>
      </c>
      <c r="X72" s="13"/>
    </row>
    <row r="73" spans="1:24" s="12" customFormat="1" ht="21.75" customHeight="1" x14ac:dyDescent="0.35">
      <c r="A73" s="19">
        <v>65</v>
      </c>
      <c r="B73" s="20" t="s">
        <v>65</v>
      </c>
      <c r="C73" s="19" t="s">
        <v>178</v>
      </c>
      <c r="D73" s="21">
        <v>29117.16</v>
      </c>
      <c r="E73" s="21">
        <v>0</v>
      </c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2">
        <f t="shared" si="0"/>
        <v>29117.16</v>
      </c>
      <c r="X73" s="13"/>
    </row>
    <row r="74" spans="1:24" s="12" customFormat="1" ht="21" customHeight="1" x14ac:dyDescent="0.35">
      <c r="A74" s="19">
        <v>66</v>
      </c>
      <c r="B74" s="20" t="s">
        <v>66</v>
      </c>
      <c r="C74" s="19" t="s">
        <v>202</v>
      </c>
      <c r="D74" s="21">
        <v>0</v>
      </c>
      <c r="E74" s="21">
        <v>0</v>
      </c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2">
        <f>(D74+E74+F74+ G74+ H74+ I74+ J74+ K74+ L74+M74+N74+O74+P74+Q74+R74+S74)</f>
        <v>0</v>
      </c>
      <c r="X74" s="13"/>
    </row>
    <row r="75" spans="1:24" s="12" customFormat="1" ht="20.25" customHeight="1" x14ac:dyDescent="0.35">
      <c r="A75" s="19">
        <v>66</v>
      </c>
      <c r="B75" s="20" t="s">
        <v>67</v>
      </c>
      <c r="C75" s="19" t="s">
        <v>203</v>
      </c>
      <c r="D75" s="21">
        <v>0</v>
      </c>
      <c r="E75" s="21">
        <v>0</v>
      </c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2">
        <f>(D75+E75+F75+ G75+ H75+ I75+ J75+ K75+ L75+M75+N75+O75+P75+Q75+R75+S75)</f>
        <v>0</v>
      </c>
      <c r="X75" s="13"/>
    </row>
    <row r="76" spans="1:24" s="12" customFormat="1" ht="21" customHeight="1" x14ac:dyDescent="0.35">
      <c r="A76" s="19">
        <v>67</v>
      </c>
      <c r="B76" s="20" t="s">
        <v>285</v>
      </c>
      <c r="C76" s="19" t="s">
        <v>212</v>
      </c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2">
        <f>(D76+E76+F76+ G76+ H76+ I76+ J76+ K76+ L76+M76+N76+O76+P76+Q76+R76+S76)</f>
        <v>0</v>
      </c>
      <c r="X76" s="13"/>
    </row>
    <row r="77" spans="1:24" s="12" customFormat="1" ht="21" customHeight="1" x14ac:dyDescent="0.35">
      <c r="A77" s="19">
        <v>68</v>
      </c>
      <c r="B77" s="20" t="s">
        <v>68</v>
      </c>
      <c r="C77" s="19" t="s">
        <v>177</v>
      </c>
      <c r="D77" s="21">
        <v>0</v>
      </c>
      <c r="E77" s="21">
        <v>0</v>
      </c>
      <c r="F77" s="21">
        <v>22562.19</v>
      </c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2">
        <f>(D77+E77+F77+ G77+ H77+ I77+ J77+ K77+ L77+M77+N77+O77+P77+Q77+R77+S77)</f>
        <v>22562.19</v>
      </c>
      <c r="X77" s="13"/>
    </row>
    <row r="78" spans="1:24" s="12" customFormat="1" ht="19.5" customHeight="1" x14ac:dyDescent="0.35">
      <c r="A78" s="19">
        <v>69</v>
      </c>
      <c r="B78" s="20" t="s">
        <v>69</v>
      </c>
      <c r="C78" s="19" t="s">
        <v>191</v>
      </c>
      <c r="D78" s="21">
        <v>0</v>
      </c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>
        <v>22562.19</v>
      </c>
      <c r="S78" s="21">
        <v>24266.02</v>
      </c>
      <c r="T78" s="21">
        <f>(12133.01+33019)</f>
        <v>45152.01</v>
      </c>
      <c r="U78" s="21">
        <v>179625</v>
      </c>
      <c r="V78" s="22">
        <f>(D78+E78+F78+ G78+ H78+ I78+ J78+ K78+ L78+M78+N78+O78+P78+Q78+R78+S78+T78+U78)</f>
        <v>271605.21999999997</v>
      </c>
      <c r="X78" s="13"/>
    </row>
    <row r="79" spans="1:24" s="12" customFormat="1" ht="19.5" customHeight="1" x14ac:dyDescent="0.35">
      <c r="A79" s="19">
        <v>70</v>
      </c>
      <c r="B79" s="20" t="s">
        <v>70</v>
      </c>
      <c r="C79" s="19" t="s">
        <v>169</v>
      </c>
      <c r="D79" s="21">
        <v>0</v>
      </c>
      <c r="E79" s="21">
        <v>0</v>
      </c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>
        <v>126360</v>
      </c>
      <c r="U79" s="21"/>
      <c r="V79" s="22">
        <f>(D79+E79+F79+ G79+ H79+ I79+ J79+ K79+ L79+M79+N79+O79+P79+Q79+R79+S79+T79)</f>
        <v>126360</v>
      </c>
      <c r="X79" s="13"/>
    </row>
    <row r="80" spans="1:24" s="12" customFormat="1" ht="20.25" customHeight="1" x14ac:dyDescent="0.35">
      <c r="A80" s="19">
        <v>70</v>
      </c>
      <c r="B80" s="20" t="s">
        <v>275</v>
      </c>
      <c r="C80" s="19" t="s">
        <v>276</v>
      </c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>
        <v>39800.5</v>
      </c>
      <c r="S80" s="21">
        <v>25165.4</v>
      </c>
      <c r="T80" s="21"/>
      <c r="U80" s="21"/>
      <c r="V80" s="22">
        <f>(D80+E80+F80+ G80+ H80+ I80+ J80+ K80+ L80+M80+N80+O80+P80+Q80+R80+S80)</f>
        <v>64965.9</v>
      </c>
      <c r="X80" s="13"/>
    </row>
    <row r="81" spans="1:24" s="12" customFormat="1" ht="21" customHeight="1" x14ac:dyDescent="0.35">
      <c r="A81" s="19">
        <v>71</v>
      </c>
      <c r="B81" s="20" t="s">
        <v>71</v>
      </c>
      <c r="C81" s="19" t="s">
        <v>204</v>
      </c>
      <c r="D81" s="21">
        <v>0</v>
      </c>
      <c r="E81" s="21">
        <v>0</v>
      </c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>
        <f>(82300+2750+1125+900+1125+1125+1125+1125+2750+2330+2525+1125+1125)</f>
        <v>101430</v>
      </c>
      <c r="Q81" s="21">
        <f>(1125+1125+900+1125+2525+1125+1125+1125+1125+2330+1125+600+1125+6300+2105+1125+675)</f>
        <v>26685</v>
      </c>
      <c r="R81" s="21">
        <f>(900+1125+900+1125+1125+1125+900+900+1170+675+1350+900+675+2075+900+2300+675)</f>
        <v>18820</v>
      </c>
      <c r="S81" s="21">
        <f>(2300+675+2525+675+2300+900+900+900+675+2300+675+2300+2750+900+675+675+900+2300)</f>
        <v>25325</v>
      </c>
      <c r="T81" s="21">
        <f>(2300+900+2300+2300+1125+675+675+2300+900+900+2300+2525+810+675+2300+2300+1125+2300)</f>
        <v>28710</v>
      </c>
      <c r="U81" s="46">
        <v>1125</v>
      </c>
      <c r="V81" s="22">
        <f>(D81+E81+F81+ G81+ H81+ I81+ J81+ K81+ L81+M81+N81+O81+P81+Q81+R81+S81+T81+U81)</f>
        <v>202095</v>
      </c>
      <c r="X81" s="13"/>
    </row>
    <row r="82" spans="1:24" s="12" customFormat="1" ht="21" customHeight="1" x14ac:dyDescent="0.35">
      <c r="A82" s="19">
        <v>72</v>
      </c>
      <c r="B82" s="20" t="s">
        <v>72</v>
      </c>
      <c r="C82" s="19" t="s">
        <v>189</v>
      </c>
      <c r="D82" s="21">
        <v>158000</v>
      </c>
      <c r="E82" s="21">
        <v>0</v>
      </c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2">
        <f t="shared" ref="V82:V91" si="1">(D82+E82+F82+ G82+ H82+ I82+ J82+ K82+ L82+M82+N82+O82+P82+Q82+R82+S82)</f>
        <v>158000</v>
      </c>
      <c r="X82" s="13"/>
    </row>
    <row r="83" spans="1:24" s="12" customFormat="1" ht="19.5" customHeight="1" x14ac:dyDescent="0.35">
      <c r="A83" s="19">
        <v>73</v>
      </c>
      <c r="B83" s="20" t="s">
        <v>73</v>
      </c>
      <c r="C83" s="19" t="s">
        <v>191</v>
      </c>
      <c r="D83" s="21">
        <v>220975</v>
      </c>
      <c r="E83" s="21">
        <v>0</v>
      </c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2">
        <f t="shared" si="1"/>
        <v>220975</v>
      </c>
      <c r="X83" s="13"/>
    </row>
    <row r="84" spans="1:24" s="12" customFormat="1" ht="21" customHeight="1" x14ac:dyDescent="0.35">
      <c r="A84" s="19">
        <v>74</v>
      </c>
      <c r="B84" s="20" t="s">
        <v>74</v>
      </c>
      <c r="C84" s="19" t="s">
        <v>205</v>
      </c>
      <c r="D84" s="21">
        <v>5392.6</v>
      </c>
      <c r="E84" s="21">
        <v>0</v>
      </c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2">
        <f t="shared" si="1"/>
        <v>5392.6</v>
      </c>
      <c r="X84" s="13"/>
    </row>
    <row r="85" spans="1:24" s="12" customFormat="1" ht="30" customHeight="1" x14ac:dyDescent="0.35">
      <c r="A85" s="19">
        <v>75</v>
      </c>
      <c r="B85" s="20" t="s">
        <v>75</v>
      </c>
      <c r="C85" s="19" t="s">
        <v>168</v>
      </c>
      <c r="D85" s="21"/>
      <c r="E85" s="21">
        <v>0</v>
      </c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2">
        <f t="shared" si="1"/>
        <v>0</v>
      </c>
      <c r="X85" s="13"/>
    </row>
    <row r="86" spans="1:24" s="12" customFormat="1" ht="20.25" customHeight="1" x14ac:dyDescent="0.35">
      <c r="A86" s="19">
        <v>76</v>
      </c>
      <c r="B86" s="20" t="s">
        <v>76</v>
      </c>
      <c r="C86" s="19" t="s">
        <v>173</v>
      </c>
      <c r="D86" s="21">
        <v>0</v>
      </c>
      <c r="E86" s="21">
        <v>0</v>
      </c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2">
        <f t="shared" si="1"/>
        <v>0</v>
      </c>
      <c r="X86" s="13"/>
    </row>
    <row r="87" spans="1:24" s="12" customFormat="1" ht="18.75" customHeight="1" x14ac:dyDescent="0.35">
      <c r="A87" s="19">
        <v>77</v>
      </c>
      <c r="B87" s="20" t="s">
        <v>77</v>
      </c>
      <c r="C87" s="19" t="s">
        <v>206</v>
      </c>
      <c r="D87" s="21">
        <v>2199.9899999999998</v>
      </c>
      <c r="E87" s="21">
        <v>0</v>
      </c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2">
        <f t="shared" si="1"/>
        <v>2199.9899999999998</v>
      </c>
      <c r="X87" s="13"/>
    </row>
    <row r="88" spans="1:24" s="12" customFormat="1" ht="21" customHeight="1" x14ac:dyDescent="0.35">
      <c r="A88" s="19">
        <v>78</v>
      </c>
      <c r="B88" s="20" t="s">
        <v>78</v>
      </c>
      <c r="C88" s="19" t="s">
        <v>169</v>
      </c>
      <c r="D88" s="21">
        <v>140820</v>
      </c>
      <c r="E88" s="21">
        <v>0</v>
      </c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2">
        <f t="shared" si="1"/>
        <v>140820</v>
      </c>
      <c r="X88" s="13"/>
    </row>
    <row r="89" spans="1:24" s="12" customFormat="1" ht="21.75" customHeight="1" x14ac:dyDescent="0.35">
      <c r="A89" s="19">
        <v>79</v>
      </c>
      <c r="B89" s="20" t="s">
        <v>277</v>
      </c>
      <c r="C89" s="19" t="s">
        <v>278</v>
      </c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2">
        <f t="shared" si="1"/>
        <v>0</v>
      </c>
      <c r="X89" s="13"/>
    </row>
    <row r="90" spans="1:24" s="12" customFormat="1" ht="21.75" customHeight="1" x14ac:dyDescent="0.35">
      <c r="A90" s="19">
        <v>80</v>
      </c>
      <c r="B90" s="20" t="s">
        <v>79</v>
      </c>
      <c r="C90" s="19" t="s">
        <v>178</v>
      </c>
      <c r="D90" s="21">
        <v>0</v>
      </c>
      <c r="E90" s="21">
        <v>0</v>
      </c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>
        <v>157176</v>
      </c>
      <c r="Q90" s="21"/>
      <c r="R90" s="21"/>
      <c r="S90" s="21"/>
      <c r="T90" s="21"/>
      <c r="U90" s="21"/>
      <c r="V90" s="22">
        <f t="shared" si="1"/>
        <v>157176</v>
      </c>
      <c r="X90" s="13"/>
    </row>
    <row r="91" spans="1:24" s="12" customFormat="1" ht="27" customHeight="1" x14ac:dyDescent="0.35">
      <c r="A91" s="19">
        <v>81</v>
      </c>
      <c r="B91" s="20" t="s">
        <v>80</v>
      </c>
      <c r="C91" s="19" t="s">
        <v>207</v>
      </c>
      <c r="D91" s="21">
        <v>0</v>
      </c>
      <c r="E91" s="21">
        <v>369850</v>
      </c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2">
        <f t="shared" si="1"/>
        <v>369850</v>
      </c>
      <c r="X91" s="13"/>
    </row>
    <row r="92" spans="1:24" s="12" customFormat="1" ht="19.5" customHeight="1" x14ac:dyDescent="0.35">
      <c r="A92" s="19">
        <v>82</v>
      </c>
      <c r="B92" s="20" t="s">
        <v>259</v>
      </c>
      <c r="C92" s="19" t="s">
        <v>260</v>
      </c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>
        <v>15340</v>
      </c>
      <c r="U92" s="21"/>
      <c r="V92" s="22">
        <f>(D92+E92+F92+ G92+ H92+ I92+ J92+ K92+ L92+M92+N92+O92+P92+Q92+R92+S92+T92)</f>
        <v>15340</v>
      </c>
      <c r="X92" s="13"/>
    </row>
    <row r="93" spans="1:24" s="12" customFormat="1" ht="21.75" customHeight="1" x14ac:dyDescent="0.35">
      <c r="A93" s="19">
        <v>83</v>
      </c>
      <c r="B93" s="20" t="s">
        <v>81</v>
      </c>
      <c r="C93" s="19" t="s">
        <v>198</v>
      </c>
      <c r="D93" s="21">
        <v>0</v>
      </c>
      <c r="E93" s="21">
        <v>5645</v>
      </c>
      <c r="F93" s="21"/>
      <c r="G93" s="21"/>
      <c r="H93" s="21"/>
      <c r="I93" s="21"/>
      <c r="J93" s="21"/>
      <c r="K93" s="21">
        <v>31100</v>
      </c>
      <c r="L93" s="21">
        <v>26000</v>
      </c>
      <c r="M93" s="21"/>
      <c r="N93" s="21"/>
      <c r="O93" s="21"/>
      <c r="P93" s="21"/>
      <c r="Q93" s="21"/>
      <c r="R93" s="21"/>
      <c r="S93" s="21"/>
      <c r="T93" s="21"/>
      <c r="U93" s="21"/>
      <c r="V93" s="22">
        <f t="shared" ref="V93:V105" si="2">(D93+E93+F93+ G93+ H93+ I93+ J93+ K93+ L93+M93+N93+O93+P93+Q93+R93+S93)</f>
        <v>62745</v>
      </c>
      <c r="X93" s="13"/>
    </row>
    <row r="94" spans="1:24" s="12" customFormat="1" ht="23.25" customHeight="1" x14ac:dyDescent="0.35">
      <c r="A94" s="19">
        <v>84</v>
      </c>
      <c r="B94" s="20" t="s">
        <v>82</v>
      </c>
      <c r="C94" s="19" t="s">
        <v>208</v>
      </c>
      <c r="D94" s="21">
        <v>3000</v>
      </c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2">
        <f t="shared" si="2"/>
        <v>3000</v>
      </c>
      <c r="X94" s="13"/>
    </row>
    <row r="95" spans="1:24" s="12" customFormat="1" ht="23.25" customHeight="1" x14ac:dyDescent="0.35">
      <c r="A95" s="19">
        <v>85</v>
      </c>
      <c r="B95" s="20" t="s">
        <v>83</v>
      </c>
      <c r="C95" s="19" t="s">
        <v>209</v>
      </c>
      <c r="D95" s="21">
        <v>34900.379999999997</v>
      </c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2">
        <f t="shared" si="2"/>
        <v>34900.379999999997</v>
      </c>
      <c r="X95" s="13"/>
    </row>
    <row r="96" spans="1:24" s="12" customFormat="1" ht="21.75" customHeight="1" x14ac:dyDescent="0.35">
      <c r="A96" s="19">
        <v>86</v>
      </c>
      <c r="B96" s="20" t="s">
        <v>267</v>
      </c>
      <c r="C96" s="19" t="s">
        <v>268</v>
      </c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2">
        <f t="shared" si="2"/>
        <v>0</v>
      </c>
      <c r="X96" s="13"/>
    </row>
    <row r="97" spans="1:24" s="12" customFormat="1" ht="21.75" customHeight="1" x14ac:dyDescent="0.35">
      <c r="A97" s="19">
        <v>87</v>
      </c>
      <c r="B97" s="20" t="s">
        <v>84</v>
      </c>
      <c r="C97" s="19" t="s">
        <v>178</v>
      </c>
      <c r="D97" s="21"/>
      <c r="E97" s="21">
        <v>0</v>
      </c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2">
        <f t="shared" si="2"/>
        <v>0</v>
      </c>
      <c r="X97" s="13"/>
    </row>
    <row r="98" spans="1:24" s="12" customFormat="1" ht="22.5" customHeight="1" x14ac:dyDescent="0.35">
      <c r="A98" s="19">
        <v>88</v>
      </c>
      <c r="B98" s="20" t="s">
        <v>261</v>
      </c>
      <c r="C98" s="19" t="s">
        <v>178</v>
      </c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2">
        <f t="shared" si="2"/>
        <v>0</v>
      </c>
      <c r="X98" s="13"/>
    </row>
    <row r="99" spans="1:24" s="12" customFormat="1" ht="22.5" customHeight="1" x14ac:dyDescent="0.35">
      <c r="A99" s="19"/>
      <c r="B99" s="20" t="s">
        <v>290</v>
      </c>
      <c r="C99" s="19" t="s">
        <v>291</v>
      </c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>
        <v>11000</v>
      </c>
      <c r="T99" s="21"/>
      <c r="U99" s="21"/>
      <c r="V99" s="22">
        <f t="shared" si="2"/>
        <v>11000</v>
      </c>
      <c r="X99" s="13"/>
    </row>
    <row r="100" spans="1:24" s="12" customFormat="1" ht="21" customHeight="1" x14ac:dyDescent="0.35">
      <c r="A100" s="19">
        <v>89</v>
      </c>
      <c r="B100" s="20" t="s">
        <v>85</v>
      </c>
      <c r="C100" s="19" t="s">
        <v>172</v>
      </c>
      <c r="D100" s="21">
        <v>68853</v>
      </c>
      <c r="E100" s="21">
        <v>0</v>
      </c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2">
        <f t="shared" si="2"/>
        <v>68853</v>
      </c>
      <c r="X100" s="13"/>
    </row>
    <row r="101" spans="1:24" s="12" customFormat="1" ht="24.75" customHeight="1" x14ac:dyDescent="0.35">
      <c r="A101" s="19">
        <v>90</v>
      </c>
      <c r="B101" s="20" t="s">
        <v>86</v>
      </c>
      <c r="C101" s="19" t="s">
        <v>210</v>
      </c>
      <c r="D101" s="21">
        <v>105320.16</v>
      </c>
      <c r="E101" s="21">
        <v>0</v>
      </c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2">
        <f t="shared" si="2"/>
        <v>105320.16</v>
      </c>
      <c r="X101" s="13"/>
    </row>
    <row r="102" spans="1:24" s="12" customFormat="1" ht="22.5" customHeight="1" x14ac:dyDescent="0.35">
      <c r="A102" s="19">
        <v>91</v>
      </c>
      <c r="B102" s="20" t="s">
        <v>87</v>
      </c>
      <c r="C102" s="19" t="s">
        <v>178</v>
      </c>
      <c r="D102" s="21">
        <v>107700</v>
      </c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2">
        <f t="shared" si="2"/>
        <v>107700</v>
      </c>
      <c r="X102" s="13"/>
    </row>
    <row r="103" spans="1:24" s="12" customFormat="1" ht="38.25" customHeight="1" x14ac:dyDescent="0.35">
      <c r="A103" s="19">
        <v>92</v>
      </c>
      <c r="B103" s="20" t="s">
        <v>88</v>
      </c>
      <c r="C103" s="27" t="s">
        <v>211</v>
      </c>
      <c r="D103" s="21"/>
      <c r="E103" s="21">
        <v>0</v>
      </c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2">
        <f t="shared" si="2"/>
        <v>0</v>
      </c>
      <c r="X103" s="13"/>
    </row>
    <row r="104" spans="1:24" s="12" customFormat="1" ht="24" customHeight="1" x14ac:dyDescent="0.35">
      <c r="A104" s="19">
        <v>93</v>
      </c>
      <c r="B104" s="20" t="s">
        <v>89</v>
      </c>
      <c r="C104" s="19" t="s">
        <v>178</v>
      </c>
      <c r="D104" s="21">
        <v>373540</v>
      </c>
      <c r="E104" s="21">
        <v>0</v>
      </c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2">
        <f t="shared" si="2"/>
        <v>373540</v>
      </c>
      <c r="X104" s="13"/>
    </row>
    <row r="105" spans="1:24" s="12" customFormat="1" ht="21.75" customHeight="1" x14ac:dyDescent="0.35">
      <c r="A105" s="19">
        <v>94</v>
      </c>
      <c r="B105" s="20" t="s">
        <v>90</v>
      </c>
      <c r="C105" s="19" t="s">
        <v>183</v>
      </c>
      <c r="D105" s="21">
        <v>40500.49</v>
      </c>
      <c r="E105" s="21">
        <v>0</v>
      </c>
      <c r="F105" s="25">
        <f>(83272+190020+156800)</f>
        <v>430092</v>
      </c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2">
        <f t="shared" si="2"/>
        <v>470592.49</v>
      </c>
      <c r="X105" s="13"/>
    </row>
    <row r="106" spans="1:24" s="12" customFormat="1" ht="22.5" customHeight="1" x14ac:dyDescent="0.35">
      <c r="A106" s="19">
        <v>95</v>
      </c>
      <c r="B106" s="20" t="s">
        <v>91</v>
      </c>
      <c r="C106" s="19" t="s">
        <v>178</v>
      </c>
      <c r="D106" s="21">
        <v>0</v>
      </c>
      <c r="E106" s="21">
        <v>0</v>
      </c>
      <c r="F106" s="21"/>
      <c r="G106" s="25"/>
      <c r="H106" s="25"/>
      <c r="I106" s="25"/>
      <c r="J106" s="25"/>
      <c r="K106" s="25"/>
      <c r="L106" s="25"/>
      <c r="M106" s="25"/>
      <c r="N106" s="25"/>
      <c r="O106" s="25"/>
      <c r="P106" s="21"/>
      <c r="Q106" s="21"/>
      <c r="R106" s="21"/>
      <c r="S106" s="21">
        <v>69900</v>
      </c>
      <c r="T106" s="21">
        <f>(210632+196380+180573.2+97005)</f>
        <v>684590.2</v>
      </c>
      <c r="U106" s="21">
        <f>(203079.35+83980)</f>
        <v>287059.34999999998</v>
      </c>
      <c r="V106" s="22">
        <f>(D106+E106+F106+ G106+ H106+ I106+ J106+ K106+ L106+M106+N106+O106+P106+Q106+R106+S106+T106+U106)</f>
        <v>1041549.5499999999</v>
      </c>
      <c r="X106" s="13"/>
    </row>
    <row r="107" spans="1:24" s="12" customFormat="1" ht="23.25" customHeight="1" x14ac:dyDescent="0.35">
      <c r="A107" s="19">
        <v>96</v>
      </c>
      <c r="B107" s="20" t="s">
        <v>92</v>
      </c>
      <c r="C107" s="19" t="s">
        <v>178</v>
      </c>
      <c r="D107" s="21">
        <v>0</v>
      </c>
      <c r="E107" s="21">
        <v>0</v>
      </c>
      <c r="F107" s="21">
        <f>(400638.08+439943.51+14750.06+20641.8+31999.21+25167.1+3683.64+25673.16+10019.97)</f>
        <v>972516.53000000014</v>
      </c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>
        <f>(46365.25+149625)</f>
        <v>195990.25</v>
      </c>
      <c r="R107" s="21">
        <f>(149625+149625+69978.15+69978.15)</f>
        <v>439206.30000000005</v>
      </c>
      <c r="S107" s="21"/>
      <c r="T107" s="21">
        <f>(110000+37557)</f>
        <v>147557</v>
      </c>
      <c r="U107" s="21"/>
      <c r="V107" s="22">
        <f>(D107+E107+F107+ G107+ H107+ I107+ J107+ K107+ L107+M107+N107+O107+P107+Q107+R107+S107+T107)</f>
        <v>1755270.0800000003</v>
      </c>
      <c r="X107" s="13"/>
    </row>
    <row r="108" spans="1:24" s="8" customFormat="1" ht="21" customHeight="1" x14ac:dyDescent="0.35">
      <c r="A108" s="30">
        <v>97</v>
      </c>
      <c r="B108" s="31" t="s">
        <v>93</v>
      </c>
      <c r="C108" s="30" t="s">
        <v>212</v>
      </c>
      <c r="D108" s="25">
        <v>0</v>
      </c>
      <c r="E108" s="25">
        <v>0</v>
      </c>
      <c r="F108" s="25"/>
      <c r="G108" s="25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>
        <v>421552.93</v>
      </c>
      <c r="S108" s="25">
        <f>(33881.19+30915.52+39503.28+44686.6)</f>
        <v>148986.59</v>
      </c>
      <c r="T108" s="25">
        <f>([2]DEUDA!$J$108)</f>
        <v>606239.93000000005</v>
      </c>
      <c r="U108" s="25">
        <v>396728.63</v>
      </c>
      <c r="V108" s="54">
        <f>(D108+E108+F108+ G108+ H108+ I108+ J108+ K108+ L108+M108+N108+O108+P108+Q108+R108+S108+T108+U108)</f>
        <v>1573508.08</v>
      </c>
      <c r="X108" s="17"/>
    </row>
    <row r="109" spans="1:24" s="12" customFormat="1" ht="20.25" customHeight="1" x14ac:dyDescent="0.35">
      <c r="A109" s="19">
        <v>98</v>
      </c>
      <c r="B109" s="20" t="s">
        <v>94</v>
      </c>
      <c r="C109" s="19" t="s">
        <v>178</v>
      </c>
      <c r="D109" s="21">
        <v>155510.20000000001</v>
      </c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2">
        <f>(D109+E109+F109+ G109+ H109+ I109+ J109+ K109+ L109+M109+N109+O109+P109+Q109+R109+S109)</f>
        <v>155510.20000000001</v>
      </c>
      <c r="X109" s="13"/>
    </row>
    <row r="110" spans="1:24" s="12" customFormat="1" ht="23.25" customHeight="1" x14ac:dyDescent="0.35">
      <c r="A110" s="19">
        <v>99</v>
      </c>
      <c r="B110" s="20" t="s">
        <v>95</v>
      </c>
      <c r="C110" s="19" t="s">
        <v>178</v>
      </c>
      <c r="D110" s="21">
        <v>238266.12</v>
      </c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2">
        <f>(D110+E110+F110+ G110+ H110+ I110+ J110+ K110+ L110+M110+N110+O110+P110+Q110+R110+S110)</f>
        <v>238266.12</v>
      </c>
      <c r="X110" s="13"/>
    </row>
    <row r="111" spans="1:24" s="12" customFormat="1" ht="21" customHeight="1" x14ac:dyDescent="0.35">
      <c r="A111" s="19">
        <v>100</v>
      </c>
      <c r="B111" s="20" t="s">
        <v>96</v>
      </c>
      <c r="C111" s="19" t="s">
        <v>171</v>
      </c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2">
        <f>(D111+E111+F111+ G111+ H111+ I111+ J111+ K111+ L111+M111+N111+O111+P111+Q111+R111+S111)</f>
        <v>0</v>
      </c>
      <c r="X111" s="13"/>
    </row>
    <row r="112" spans="1:24" s="12" customFormat="1" ht="24" customHeight="1" x14ac:dyDescent="0.35">
      <c r="A112" s="19">
        <v>101</v>
      </c>
      <c r="B112" s="20" t="s">
        <v>97</v>
      </c>
      <c r="C112" s="19" t="s">
        <v>213</v>
      </c>
      <c r="D112" s="21"/>
      <c r="E112" s="21">
        <v>0</v>
      </c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2">
        <f>(D112+E112+F112+ G112+ H112+ I112+ J112+ K112+ L112+M112+N112+O112+P112+Q112+R112+S112+T112)</f>
        <v>0</v>
      </c>
      <c r="X112" s="13"/>
    </row>
    <row r="113" spans="1:24" s="12" customFormat="1" ht="22.5" customHeight="1" x14ac:dyDescent="0.35">
      <c r="A113" s="19">
        <v>102</v>
      </c>
      <c r="B113" s="20" t="s">
        <v>98</v>
      </c>
      <c r="C113" s="19" t="s">
        <v>214</v>
      </c>
      <c r="D113" s="21"/>
      <c r="E113" s="21">
        <v>0</v>
      </c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>
        <v>129780</v>
      </c>
      <c r="Q113" s="21">
        <f>(130925+119970)</f>
        <v>250895</v>
      </c>
      <c r="R113" s="21">
        <f>(138985+14800)</f>
        <v>153785</v>
      </c>
      <c r="S113" s="21">
        <v>14210</v>
      </c>
      <c r="T113" s="21">
        <f>(2200+81800)</f>
        <v>84000</v>
      </c>
      <c r="U113" s="21"/>
      <c r="V113" s="22">
        <f>(D113+E113+F113+ G113+ H113+ I113+ J113+ K113+ L113+M113+N113+O113+P113+Q113+R113+S113+T113)</f>
        <v>632670</v>
      </c>
      <c r="X113" s="13"/>
    </row>
    <row r="114" spans="1:24" s="12" customFormat="1" ht="20.25" customHeight="1" x14ac:dyDescent="0.35">
      <c r="A114" s="19">
        <v>103</v>
      </c>
      <c r="B114" s="20" t="s">
        <v>99</v>
      </c>
      <c r="C114" s="19" t="s">
        <v>175</v>
      </c>
      <c r="D114" s="21"/>
      <c r="E114" s="21">
        <v>0</v>
      </c>
      <c r="F114" s="21"/>
      <c r="G114" s="21"/>
      <c r="H114" s="21"/>
      <c r="I114" s="21"/>
      <c r="J114" s="21"/>
      <c r="K114" s="21"/>
      <c r="L114" s="21"/>
      <c r="M114" s="21"/>
      <c r="N114" s="21">
        <v>23000</v>
      </c>
      <c r="O114" s="21">
        <v>27500</v>
      </c>
      <c r="P114" s="21">
        <f>(115000+23000)</f>
        <v>138000</v>
      </c>
      <c r="Q114" s="21">
        <f>(23000+23000+23000+23000+23000+23000)</f>
        <v>138000</v>
      </c>
      <c r="R114" s="25">
        <f>(23000+23000+23000+23000+23000)</f>
        <v>115000</v>
      </c>
      <c r="S114" s="21">
        <f>(23000+23000+23000+23000+6000+10400+23000)</f>
        <v>131400</v>
      </c>
      <c r="T114" s="21">
        <f>(6000+23000+23000)</f>
        <v>52000</v>
      </c>
      <c r="U114" s="21"/>
      <c r="V114" s="22">
        <f>(D114+E114+F114+ G114+ H114+ I114+ J114+ K114+ L114+M114+N114+O114+P114+Q114+R114+S114+T114)</f>
        <v>624900</v>
      </c>
      <c r="W114" s="15"/>
      <c r="X114" s="13"/>
    </row>
    <row r="115" spans="1:24" s="12" customFormat="1" ht="22.5" customHeight="1" x14ac:dyDescent="0.35">
      <c r="A115" s="19">
        <v>104</v>
      </c>
      <c r="B115" s="20" t="s">
        <v>100</v>
      </c>
      <c r="C115" s="19" t="s">
        <v>215</v>
      </c>
      <c r="D115" s="21">
        <v>1371191.2</v>
      </c>
      <c r="E115" s="21">
        <v>0</v>
      </c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2">
        <f t="shared" ref="V115:V127" si="3">(D115+E115+F115+ G115+ H115+ I115+ J115+ K115+ L115+M115+N115+O115+P115+Q115+R115+S115)</f>
        <v>1371191.2</v>
      </c>
      <c r="X115" s="13"/>
    </row>
    <row r="116" spans="1:24" s="12" customFormat="1" ht="23.25" customHeight="1" x14ac:dyDescent="0.35">
      <c r="A116" s="19">
        <v>105</v>
      </c>
      <c r="B116" s="20" t="s">
        <v>101</v>
      </c>
      <c r="C116" s="19" t="s">
        <v>178</v>
      </c>
      <c r="D116" s="28">
        <v>84544</v>
      </c>
      <c r="E116" s="21">
        <v>0</v>
      </c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2">
        <f t="shared" si="3"/>
        <v>84544</v>
      </c>
      <c r="X116" s="13"/>
    </row>
    <row r="117" spans="1:24" s="12" customFormat="1" ht="20.25" customHeight="1" x14ac:dyDescent="0.35">
      <c r="A117" s="19">
        <v>105</v>
      </c>
      <c r="B117" s="20" t="s">
        <v>102</v>
      </c>
      <c r="C117" s="19" t="s">
        <v>178</v>
      </c>
      <c r="D117" s="21">
        <v>3400.05</v>
      </c>
      <c r="E117" s="21">
        <v>0</v>
      </c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2">
        <f t="shared" si="3"/>
        <v>3400.05</v>
      </c>
      <c r="X117" s="13"/>
    </row>
    <row r="118" spans="1:24" s="12" customFormat="1" ht="22.5" customHeight="1" x14ac:dyDescent="0.35">
      <c r="A118" s="19">
        <v>106</v>
      </c>
      <c r="B118" s="20" t="s">
        <v>103</v>
      </c>
      <c r="C118" s="19" t="s">
        <v>216</v>
      </c>
      <c r="D118" s="21">
        <v>0</v>
      </c>
      <c r="E118" s="21">
        <v>0</v>
      </c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2">
        <f t="shared" si="3"/>
        <v>0</v>
      </c>
      <c r="X118" s="13"/>
    </row>
    <row r="119" spans="1:24" s="12" customFormat="1" ht="21.75" customHeight="1" x14ac:dyDescent="0.35">
      <c r="A119" s="19">
        <v>107</v>
      </c>
      <c r="B119" s="20" t="s">
        <v>104</v>
      </c>
      <c r="C119" s="19" t="s">
        <v>196</v>
      </c>
      <c r="D119" s="21">
        <v>188100</v>
      </c>
      <c r="E119" s="21">
        <v>0</v>
      </c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2">
        <f t="shared" si="3"/>
        <v>188100</v>
      </c>
      <c r="X119" s="13"/>
    </row>
    <row r="120" spans="1:24" s="12" customFormat="1" ht="20.25" customHeight="1" x14ac:dyDescent="0.35">
      <c r="A120" s="19">
        <v>107</v>
      </c>
      <c r="B120" s="20" t="s">
        <v>105</v>
      </c>
      <c r="C120" s="19" t="s">
        <v>178</v>
      </c>
      <c r="D120" s="21">
        <v>0</v>
      </c>
      <c r="E120" s="21">
        <v>0</v>
      </c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2">
        <f t="shared" si="3"/>
        <v>0</v>
      </c>
      <c r="X120" s="13"/>
    </row>
    <row r="121" spans="1:24" s="12" customFormat="1" ht="24" customHeight="1" x14ac:dyDescent="0.35">
      <c r="A121" s="19">
        <v>108</v>
      </c>
      <c r="B121" s="20" t="s">
        <v>106</v>
      </c>
      <c r="C121" s="19" t="s">
        <v>217</v>
      </c>
      <c r="D121" s="21">
        <v>0</v>
      </c>
      <c r="E121" s="21">
        <v>0</v>
      </c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2">
        <f t="shared" si="3"/>
        <v>0</v>
      </c>
      <c r="X121" s="13"/>
    </row>
    <row r="122" spans="1:24" s="12" customFormat="1" ht="18.75" customHeight="1" x14ac:dyDescent="0.35">
      <c r="A122" s="19">
        <v>109</v>
      </c>
      <c r="B122" s="20" t="s">
        <v>256</v>
      </c>
      <c r="C122" s="19" t="s">
        <v>196</v>
      </c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9"/>
      <c r="Q122" s="21"/>
      <c r="R122" s="21"/>
      <c r="S122" s="21"/>
      <c r="T122" s="21"/>
      <c r="U122" s="21"/>
      <c r="V122" s="22">
        <f t="shared" si="3"/>
        <v>0</v>
      </c>
      <c r="X122" s="13"/>
    </row>
    <row r="123" spans="1:24" s="12" customFormat="1" ht="18.75" customHeight="1" x14ac:dyDescent="0.35">
      <c r="A123" s="19">
        <v>110</v>
      </c>
      <c r="B123" s="20" t="s">
        <v>107</v>
      </c>
      <c r="C123" s="19" t="s">
        <v>178</v>
      </c>
      <c r="D123" s="21">
        <v>0</v>
      </c>
      <c r="E123" s="21">
        <v>0</v>
      </c>
      <c r="F123" s="21"/>
      <c r="G123" s="21"/>
      <c r="H123" s="21"/>
      <c r="I123" s="21"/>
      <c r="J123" s="21"/>
      <c r="K123" s="21"/>
      <c r="L123" s="21"/>
      <c r="M123" s="21">
        <f>(138300+109692.8)</f>
        <v>247992.8</v>
      </c>
      <c r="N123" s="21">
        <f>(96800+145972)</f>
        <v>242772</v>
      </c>
      <c r="O123" s="21">
        <v>82876</v>
      </c>
      <c r="P123" s="21"/>
      <c r="Q123" s="21"/>
      <c r="R123" s="21"/>
      <c r="S123" s="21"/>
      <c r="T123" s="21"/>
      <c r="U123" s="21"/>
      <c r="V123" s="22">
        <f t="shared" si="3"/>
        <v>573640.80000000005</v>
      </c>
      <c r="X123" s="13"/>
    </row>
    <row r="124" spans="1:24" s="12" customFormat="1" ht="21" customHeight="1" x14ac:dyDescent="0.35">
      <c r="A124" s="19">
        <v>112</v>
      </c>
      <c r="B124" s="20" t="s">
        <v>108</v>
      </c>
      <c r="C124" s="19" t="s">
        <v>218</v>
      </c>
      <c r="D124" s="21">
        <v>0</v>
      </c>
      <c r="E124" s="21">
        <v>0</v>
      </c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2">
        <f t="shared" si="3"/>
        <v>0</v>
      </c>
      <c r="X124" s="13"/>
    </row>
    <row r="125" spans="1:24" s="12" customFormat="1" ht="21.75" customHeight="1" x14ac:dyDescent="0.35">
      <c r="A125" s="19">
        <v>113</v>
      </c>
      <c r="B125" s="20" t="s">
        <v>109</v>
      </c>
      <c r="C125" s="19" t="s">
        <v>216</v>
      </c>
      <c r="D125" s="21">
        <v>2300461.92</v>
      </c>
      <c r="E125" s="21">
        <v>0</v>
      </c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2">
        <f t="shared" si="3"/>
        <v>2300461.92</v>
      </c>
      <c r="X125" s="13"/>
    </row>
    <row r="126" spans="1:24" s="12" customFormat="1" ht="23.25" customHeight="1" x14ac:dyDescent="0.35">
      <c r="A126" s="19">
        <v>114</v>
      </c>
      <c r="B126" s="20" t="s">
        <v>110</v>
      </c>
      <c r="C126" s="19" t="s">
        <v>219</v>
      </c>
      <c r="D126" s="21">
        <v>28020</v>
      </c>
      <c r="E126" s="21">
        <v>0</v>
      </c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2">
        <f t="shared" si="3"/>
        <v>28020</v>
      </c>
      <c r="X126" s="13"/>
    </row>
    <row r="127" spans="1:24" s="12" customFormat="1" ht="30" customHeight="1" x14ac:dyDescent="0.35">
      <c r="A127" s="19">
        <v>115</v>
      </c>
      <c r="B127" s="20" t="s">
        <v>111</v>
      </c>
      <c r="C127" s="19"/>
      <c r="D127" s="21">
        <v>0</v>
      </c>
      <c r="E127" s="21">
        <v>0</v>
      </c>
      <c r="F127" s="21">
        <v>154698</v>
      </c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2">
        <f t="shared" si="3"/>
        <v>154698</v>
      </c>
      <c r="X127" s="13"/>
    </row>
    <row r="128" spans="1:24" s="12" customFormat="1" ht="27" customHeight="1" x14ac:dyDescent="0.35">
      <c r="A128" s="19">
        <v>116</v>
      </c>
      <c r="B128" s="20" t="s">
        <v>112</v>
      </c>
      <c r="C128" s="19" t="s">
        <v>220</v>
      </c>
      <c r="D128" s="21">
        <v>130224.8</v>
      </c>
      <c r="E128" s="21">
        <v>0</v>
      </c>
      <c r="F128" s="21"/>
      <c r="G128" s="21"/>
      <c r="H128" s="21">
        <v>90207</v>
      </c>
      <c r="I128" s="21"/>
      <c r="J128" s="21"/>
      <c r="K128" s="21"/>
      <c r="L128" s="21"/>
      <c r="M128" s="21"/>
      <c r="N128" s="21"/>
      <c r="O128" s="21">
        <v>162840</v>
      </c>
      <c r="P128" s="21">
        <v>133517</v>
      </c>
      <c r="Q128" s="21">
        <f>(152515+30090+3835)</f>
        <v>186440</v>
      </c>
      <c r="R128" s="21">
        <v>154698</v>
      </c>
      <c r="S128" s="21">
        <v>162486</v>
      </c>
      <c r="T128" s="21">
        <v>175112</v>
      </c>
      <c r="U128" s="21"/>
      <c r="V128" s="22">
        <f>(D128+E128+F128+ G128+ H128+ I128+ J128+ K128+ L128+M128+N128+O128+P128+Q128+R128+S128+T128)</f>
        <v>1195524.8</v>
      </c>
      <c r="X128" s="13"/>
    </row>
    <row r="129" spans="1:25" s="12" customFormat="1" ht="21.75" customHeight="1" x14ac:dyDescent="0.35">
      <c r="A129" s="19">
        <v>117</v>
      </c>
      <c r="B129" s="20" t="s">
        <v>113</v>
      </c>
      <c r="C129" s="19" t="s">
        <v>167</v>
      </c>
      <c r="D129" s="21">
        <v>327450</v>
      </c>
      <c r="E129" s="21">
        <v>0</v>
      </c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2">
        <f>(D129+E129+F129+ G129+ H129+ I129+ J129+ K129+ L129+M129+N129+O129+P129+Q129+R129+S129)</f>
        <v>327450</v>
      </c>
      <c r="X129" s="13"/>
    </row>
    <row r="130" spans="1:25" s="12" customFormat="1" ht="22.5" customHeight="1" x14ac:dyDescent="0.35">
      <c r="A130" s="19">
        <v>118</v>
      </c>
      <c r="B130" s="20" t="s">
        <v>114</v>
      </c>
      <c r="C130" s="19" t="s">
        <v>167</v>
      </c>
      <c r="D130" s="21">
        <v>362225</v>
      </c>
      <c r="E130" s="21">
        <v>0</v>
      </c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2">
        <f>(D130+E130+F130+ G130+ H130+ I130+ J130+ K130+ L130+M130+N130+O130+P130+Q130+R130+S130)</f>
        <v>362225</v>
      </c>
      <c r="X130" s="13"/>
    </row>
    <row r="131" spans="1:25" s="12" customFormat="1" ht="27.75" customHeight="1" x14ac:dyDescent="0.35">
      <c r="A131" s="19">
        <v>119</v>
      </c>
      <c r="B131" s="20" t="s">
        <v>115</v>
      </c>
      <c r="C131" s="19" t="s">
        <v>221</v>
      </c>
      <c r="D131" s="21">
        <v>1108434.75</v>
      </c>
      <c r="E131" s="21">
        <v>0</v>
      </c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2">
        <f>(D131+E131+F131+ G131+ H131+ I131+ J131+ K131+ L131+M131+N131+O131+P131+Q131+R131+S131)</f>
        <v>1108434.75</v>
      </c>
      <c r="X131" s="13"/>
    </row>
    <row r="132" spans="1:25" s="12" customFormat="1" ht="23.25" customHeight="1" x14ac:dyDescent="0.35">
      <c r="A132" s="19">
        <v>120</v>
      </c>
      <c r="B132" s="20" t="s">
        <v>116</v>
      </c>
      <c r="C132" s="19" t="s">
        <v>183</v>
      </c>
      <c r="D132" s="21">
        <v>4372121.7</v>
      </c>
      <c r="E132" s="21">
        <v>0</v>
      </c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2">
        <f>(D132+E132+F132+ G132+ H132+ I132+ J132+ K132+ L132+M132+N132+O132+P132+Q132+R132+S132)</f>
        <v>4372121.7</v>
      </c>
      <c r="X132" s="13"/>
    </row>
    <row r="133" spans="1:25" s="8" customFormat="1" ht="21" customHeight="1" x14ac:dyDescent="0.35">
      <c r="A133" s="30">
        <v>121</v>
      </c>
      <c r="B133" s="31" t="s">
        <v>117</v>
      </c>
      <c r="C133" s="30" t="s">
        <v>178</v>
      </c>
      <c r="D133" s="25">
        <v>0</v>
      </c>
      <c r="E133" s="25">
        <v>0</v>
      </c>
      <c r="F133" s="25"/>
      <c r="G133" s="25"/>
      <c r="H133" s="25"/>
      <c r="I133" s="25"/>
      <c r="J133" s="25"/>
      <c r="K133" s="25"/>
      <c r="L133" s="25"/>
      <c r="M133" s="25"/>
      <c r="N133" s="25"/>
      <c r="O133" s="25"/>
      <c r="P133" s="25">
        <v>114300.7</v>
      </c>
      <c r="Q133" s="25">
        <v>151128</v>
      </c>
      <c r="R133" s="25">
        <f>(162500+50000)</f>
        <v>212500</v>
      </c>
      <c r="S133" s="25">
        <f>(39000+189250)</f>
        <v>228250</v>
      </c>
      <c r="T133" s="25">
        <v>41923.25</v>
      </c>
      <c r="U133" s="25"/>
      <c r="V133" s="54">
        <f>(D133+E133+F133+ G133+ H133+ I133+ J133+ K133+ L133+M133+N133+O133+P133+Q133+R133+S133+T133)</f>
        <v>748101.95</v>
      </c>
      <c r="X133" s="17"/>
      <c r="Y133" s="55"/>
    </row>
    <row r="134" spans="1:25" s="12" customFormat="1" ht="20.25" customHeight="1" x14ac:dyDescent="0.35">
      <c r="A134" s="19">
        <v>122</v>
      </c>
      <c r="B134" s="20" t="s">
        <v>266</v>
      </c>
      <c r="C134" s="19" t="s">
        <v>197</v>
      </c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>
        <v>12129.5</v>
      </c>
      <c r="R134" s="21"/>
      <c r="S134" s="21"/>
      <c r="T134" s="21"/>
      <c r="U134" s="21"/>
      <c r="V134" s="22">
        <f>(D134+E134+F134+ G134+ H134+ I134+ J134+ K134+ L134+M134+N134+O134+P134+Q134+R134+S134)</f>
        <v>12129.5</v>
      </c>
      <c r="X134" s="13"/>
      <c r="Y134" s="16"/>
    </row>
    <row r="135" spans="1:25" s="12" customFormat="1" ht="20.25" customHeight="1" x14ac:dyDescent="0.35">
      <c r="A135" s="19">
        <v>123</v>
      </c>
      <c r="B135" s="20" t="s">
        <v>118</v>
      </c>
      <c r="C135" s="19" t="s">
        <v>222</v>
      </c>
      <c r="D135" s="21">
        <v>0</v>
      </c>
      <c r="E135" s="21">
        <v>0</v>
      </c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2">
        <f>(D135+E135+F135+ G135+ H135+ I135+ J135+ K135+ L135+M135+N135+O135+P135+Q135+R135+S135)</f>
        <v>0</v>
      </c>
      <c r="X135" s="13"/>
    </row>
    <row r="136" spans="1:25" s="12" customFormat="1" ht="21.75" customHeight="1" x14ac:dyDescent="0.35">
      <c r="A136" s="19">
        <v>124</v>
      </c>
      <c r="B136" s="20" t="s">
        <v>119</v>
      </c>
      <c r="C136" s="19" t="s">
        <v>223</v>
      </c>
      <c r="D136" s="21">
        <v>0</v>
      </c>
      <c r="E136" s="21">
        <v>0</v>
      </c>
      <c r="F136" s="25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>
        <v>75469.259999999995</v>
      </c>
      <c r="S136" s="21"/>
      <c r="T136" s="21"/>
      <c r="U136" s="21"/>
      <c r="V136" s="22">
        <f>(D136+E136+F136+ G136+ H136+ I136+ J136+ K136+ L136+M136+N136+O136+P136+Q136+R136+S136)</f>
        <v>75469.259999999995</v>
      </c>
      <c r="X136" s="13"/>
    </row>
    <row r="137" spans="1:25" s="8" customFormat="1" ht="23.25" customHeight="1" x14ac:dyDescent="0.35">
      <c r="A137" s="30">
        <v>125</v>
      </c>
      <c r="B137" s="31" t="s">
        <v>120</v>
      </c>
      <c r="C137" s="30" t="s">
        <v>224</v>
      </c>
      <c r="D137" s="32">
        <v>1659000</v>
      </c>
      <c r="E137" s="25">
        <v>0</v>
      </c>
      <c r="F137" s="21"/>
      <c r="G137" s="25">
        <v>22000</v>
      </c>
      <c r="H137" s="25"/>
      <c r="I137" s="25"/>
      <c r="J137" s="25"/>
      <c r="K137" s="25"/>
      <c r="L137" s="25"/>
      <c r="M137" s="25"/>
      <c r="N137" s="25"/>
      <c r="O137" s="25"/>
      <c r="P137" s="25"/>
      <c r="Q137" s="25"/>
      <c r="R137" s="21"/>
      <c r="S137" s="21"/>
      <c r="T137" s="21"/>
      <c r="U137" s="21"/>
      <c r="V137" s="22">
        <f>(D137+E137+F137+ G137+ H137+ I137+ J137+ K137+ L137+M137+N137+O137+P137+Q137+R137+S137)</f>
        <v>1681000</v>
      </c>
      <c r="X137" s="17"/>
    </row>
    <row r="138" spans="1:25" s="12" customFormat="1" ht="21.75" customHeight="1" x14ac:dyDescent="0.35">
      <c r="A138" s="19">
        <v>126</v>
      </c>
      <c r="B138" s="20" t="s">
        <v>121</v>
      </c>
      <c r="C138" s="19" t="s">
        <v>168</v>
      </c>
      <c r="D138" s="21">
        <v>0</v>
      </c>
      <c r="E138" s="21">
        <v>0</v>
      </c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2">
        <f>(D138+E138+F138+ G138+ H138+ I138+ J138+ K138+ L138+M138+N138+O138+P138+Q138+R138+S138)</f>
        <v>0</v>
      </c>
      <c r="X138" s="13"/>
    </row>
    <row r="139" spans="1:25" s="12" customFormat="1" ht="21.75" customHeight="1" x14ac:dyDescent="0.35">
      <c r="A139" s="19">
        <v>127</v>
      </c>
      <c r="B139" s="20" t="s">
        <v>122</v>
      </c>
      <c r="C139" s="19" t="s">
        <v>176</v>
      </c>
      <c r="D139" s="21">
        <v>0</v>
      </c>
      <c r="E139" s="21">
        <v>0</v>
      </c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>
        <v>512582.79</v>
      </c>
      <c r="U139" s="21"/>
      <c r="V139" s="22">
        <f>(D139+E139+F139+ G139+ H139+ I139+ J139+ K139+ L139+M139+N139+O139+P139+Q139+R139+S139+T139)</f>
        <v>512582.79</v>
      </c>
      <c r="X139" s="13"/>
    </row>
    <row r="140" spans="1:25" s="12" customFormat="1" ht="24" customHeight="1" x14ac:dyDescent="0.35">
      <c r="A140" s="19">
        <v>128</v>
      </c>
      <c r="B140" s="20" t="s">
        <v>123</v>
      </c>
      <c r="C140" s="19" t="s">
        <v>178</v>
      </c>
      <c r="D140" s="21">
        <v>0</v>
      </c>
      <c r="E140" s="21">
        <v>0</v>
      </c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2">
        <f t="shared" ref="V140:V189" si="4">(D140+E140+F140+ G140+ H140+ I140+ J140+ K140+ L140+M140+N140+O140+P140+Q140+R140+S140)</f>
        <v>0</v>
      </c>
      <c r="X140" s="13"/>
    </row>
    <row r="141" spans="1:25" s="12" customFormat="1" ht="19.5" customHeight="1" x14ac:dyDescent="0.35">
      <c r="A141" s="19">
        <v>129</v>
      </c>
      <c r="B141" s="20" t="s">
        <v>124</v>
      </c>
      <c r="C141" s="19" t="s">
        <v>178</v>
      </c>
      <c r="D141" s="21">
        <v>0</v>
      </c>
      <c r="E141" s="21">
        <v>0</v>
      </c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>
        <v>163990.5</v>
      </c>
      <c r="R141" s="21">
        <v>170588.16</v>
      </c>
      <c r="S141" s="21">
        <f>(83336.32+131822.24)</f>
        <v>215158.56</v>
      </c>
      <c r="T141" s="21">
        <f>(174805.2+137096.8+112383.2+52000)</f>
        <v>476285.2</v>
      </c>
      <c r="U141" s="21">
        <v>113163.2</v>
      </c>
      <c r="V141" s="22">
        <f>(D141+E141+F141+ G141+ H141+ I141+ J141+ K141+ L141+M141+N141+O141+P141+Q141+R141+S141+T141+U141)</f>
        <v>1139185.6199999999</v>
      </c>
      <c r="X141" s="13"/>
    </row>
    <row r="142" spans="1:25" s="12" customFormat="1" ht="21" customHeight="1" x14ac:dyDescent="0.35">
      <c r="A142" s="19">
        <v>130</v>
      </c>
      <c r="B142" s="20" t="s">
        <v>125</v>
      </c>
      <c r="C142" s="19" t="s">
        <v>198</v>
      </c>
      <c r="D142" s="21">
        <v>141141</v>
      </c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2">
        <f t="shared" si="4"/>
        <v>141141</v>
      </c>
      <c r="X142" s="13"/>
    </row>
    <row r="143" spans="1:25" s="12" customFormat="1" ht="28.5" customHeight="1" x14ac:dyDescent="0.35">
      <c r="A143" s="19">
        <v>131</v>
      </c>
      <c r="B143" s="20" t="s">
        <v>126</v>
      </c>
      <c r="C143" s="19" t="s">
        <v>178</v>
      </c>
      <c r="D143" s="21">
        <v>136930.20000000001</v>
      </c>
      <c r="E143" s="21">
        <v>0</v>
      </c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2">
        <f t="shared" si="4"/>
        <v>136930.20000000001</v>
      </c>
      <c r="X143" s="13"/>
    </row>
    <row r="144" spans="1:25" s="12" customFormat="1" ht="30.75" customHeight="1" x14ac:dyDescent="0.35">
      <c r="A144" s="19">
        <v>132</v>
      </c>
      <c r="B144" s="20" t="s">
        <v>127</v>
      </c>
      <c r="C144" s="19" t="s">
        <v>220</v>
      </c>
      <c r="D144" s="21">
        <v>0</v>
      </c>
      <c r="E144" s="21">
        <v>0</v>
      </c>
      <c r="F144" s="21">
        <v>9900</v>
      </c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2">
        <f>(D144+E144+F144+ G144+ H144+ I144+ J144+ K144+ L144+M144+N144+O144+P144+Q144+R144+S144+T144)</f>
        <v>9900</v>
      </c>
      <c r="X144" s="13"/>
    </row>
    <row r="145" spans="1:24" s="12" customFormat="1" ht="23.25" customHeight="1" x14ac:dyDescent="0.35">
      <c r="A145" s="19">
        <v>133</v>
      </c>
      <c r="B145" s="20" t="s">
        <v>128</v>
      </c>
      <c r="C145" s="19" t="s">
        <v>178</v>
      </c>
      <c r="D145" s="21">
        <v>0</v>
      </c>
      <c r="E145" s="21">
        <v>0</v>
      </c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>
        <f>(25000+25000)</f>
        <v>50000</v>
      </c>
      <c r="U145" s="21"/>
      <c r="V145" s="22">
        <f>(D145+E145+F145+ G145+ H145+ I145+ J145+ K145+ L145+M145+N145+O145+P145+Q145+R145+S145+T145)</f>
        <v>50000</v>
      </c>
      <c r="X145" s="13"/>
    </row>
    <row r="146" spans="1:24" s="12" customFormat="1" ht="21" customHeight="1" x14ac:dyDescent="0.35">
      <c r="A146" s="19">
        <v>134</v>
      </c>
      <c r="B146" s="20" t="s">
        <v>129</v>
      </c>
      <c r="C146" s="19" t="s">
        <v>225</v>
      </c>
      <c r="D146" s="21"/>
      <c r="E146" s="21">
        <v>0</v>
      </c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4"/>
      <c r="R146" s="24"/>
      <c r="S146" s="21"/>
      <c r="T146" s="21"/>
      <c r="U146" s="21"/>
      <c r="V146" s="22">
        <f t="shared" si="4"/>
        <v>0</v>
      </c>
      <c r="X146" s="13"/>
    </row>
    <row r="147" spans="1:24" s="12" customFormat="1" ht="21" customHeight="1" x14ac:dyDescent="0.35">
      <c r="A147" s="19">
        <v>135</v>
      </c>
      <c r="B147" s="20" t="s">
        <v>130</v>
      </c>
      <c r="C147" s="19" t="s">
        <v>226</v>
      </c>
      <c r="D147" s="21">
        <v>0</v>
      </c>
      <c r="E147" s="21">
        <v>0</v>
      </c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>
        <v>23600</v>
      </c>
      <c r="Q147" s="21">
        <v>23600</v>
      </c>
      <c r="R147" s="21">
        <v>23600</v>
      </c>
      <c r="S147" s="21">
        <f>(23600+23600)</f>
        <v>47200</v>
      </c>
      <c r="T147" s="21"/>
      <c r="U147" s="21"/>
      <c r="V147" s="22">
        <f>(D147+E147+F147+ G147+ H147+ I147+ J147+ K147+ L147+M147+N147+O147+P147+Q147+R147+S147+T147)</f>
        <v>118000</v>
      </c>
      <c r="X147" s="13"/>
    </row>
    <row r="148" spans="1:24" s="12" customFormat="1" ht="27" customHeight="1" x14ac:dyDescent="0.35">
      <c r="A148" s="19">
        <v>136</v>
      </c>
      <c r="B148" s="20" t="s">
        <v>131</v>
      </c>
      <c r="C148" s="19" t="s">
        <v>189</v>
      </c>
      <c r="D148" s="21">
        <v>0</v>
      </c>
      <c r="E148" s="21">
        <v>0</v>
      </c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>
        <v>135640</v>
      </c>
      <c r="R148" s="21">
        <v>114608</v>
      </c>
      <c r="S148" s="21"/>
      <c r="T148" s="21"/>
      <c r="U148" s="21"/>
      <c r="V148" s="22">
        <f t="shared" si="4"/>
        <v>250248</v>
      </c>
      <c r="X148" s="13"/>
    </row>
    <row r="149" spans="1:24" s="12" customFormat="1" ht="23.25" customHeight="1" x14ac:dyDescent="0.35">
      <c r="A149" s="19">
        <v>137</v>
      </c>
      <c r="B149" s="20" t="s">
        <v>132</v>
      </c>
      <c r="C149" s="19" t="s">
        <v>178</v>
      </c>
      <c r="D149" s="21">
        <v>0</v>
      </c>
      <c r="E149" s="21">
        <v>0</v>
      </c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>
        <v>21000</v>
      </c>
      <c r="R149" s="21"/>
      <c r="S149" s="21"/>
      <c r="T149" s="21"/>
      <c r="U149" s="21"/>
      <c r="V149" s="22">
        <f t="shared" si="4"/>
        <v>21000</v>
      </c>
      <c r="X149" s="13"/>
    </row>
    <row r="150" spans="1:24" s="12" customFormat="1" ht="24" customHeight="1" x14ac:dyDescent="0.35">
      <c r="A150" s="19">
        <v>138</v>
      </c>
      <c r="B150" s="20" t="s">
        <v>272</v>
      </c>
      <c r="C150" s="19" t="s">
        <v>273</v>
      </c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2">
        <f t="shared" si="4"/>
        <v>0</v>
      </c>
      <c r="X150" s="13"/>
    </row>
    <row r="151" spans="1:24" s="12" customFormat="1" ht="19.5" customHeight="1" x14ac:dyDescent="0.35">
      <c r="A151" s="19">
        <v>139</v>
      </c>
      <c r="B151" s="20" t="s">
        <v>133</v>
      </c>
      <c r="C151" s="19" t="s">
        <v>178</v>
      </c>
      <c r="D151" s="21">
        <v>0</v>
      </c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2">
        <f t="shared" si="4"/>
        <v>0</v>
      </c>
      <c r="X151" s="13"/>
    </row>
    <row r="152" spans="1:24" s="12" customFormat="1" ht="18.75" customHeight="1" x14ac:dyDescent="0.35">
      <c r="A152" s="19">
        <v>140</v>
      </c>
      <c r="B152" s="20" t="s">
        <v>134</v>
      </c>
      <c r="C152" s="19" t="s">
        <v>178</v>
      </c>
      <c r="D152" s="21">
        <v>33250</v>
      </c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2">
        <f t="shared" si="4"/>
        <v>33250</v>
      </c>
      <c r="X152" s="13"/>
    </row>
    <row r="153" spans="1:24" s="12" customFormat="1" ht="21" customHeight="1" x14ac:dyDescent="0.35">
      <c r="A153" s="19">
        <v>141</v>
      </c>
      <c r="B153" s="20" t="s">
        <v>135</v>
      </c>
      <c r="C153" s="19" t="s">
        <v>227</v>
      </c>
      <c r="D153" s="21">
        <v>82270</v>
      </c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2">
        <f t="shared" si="4"/>
        <v>82270</v>
      </c>
      <c r="X153" s="13"/>
    </row>
    <row r="154" spans="1:24" s="12" customFormat="1" ht="22.5" customHeight="1" x14ac:dyDescent="0.35">
      <c r="A154" s="19">
        <v>142</v>
      </c>
      <c r="B154" s="20" t="s">
        <v>136</v>
      </c>
      <c r="C154" s="19" t="s">
        <v>178</v>
      </c>
      <c r="D154" s="21"/>
      <c r="E154" s="21">
        <v>0</v>
      </c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2">
        <f t="shared" si="4"/>
        <v>0</v>
      </c>
      <c r="X154" s="13"/>
    </row>
    <row r="155" spans="1:24" s="8" customFormat="1" ht="18.75" customHeight="1" x14ac:dyDescent="0.35">
      <c r="A155" s="30">
        <v>143</v>
      </c>
      <c r="B155" s="31" t="s">
        <v>137</v>
      </c>
      <c r="C155" s="30" t="s">
        <v>228</v>
      </c>
      <c r="D155" s="25"/>
      <c r="E155" s="25">
        <v>0</v>
      </c>
      <c r="F155" s="25"/>
      <c r="G155" s="25"/>
      <c r="H155" s="25"/>
      <c r="I155" s="25"/>
      <c r="J155" s="25"/>
      <c r="K155" s="25"/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54">
        <f t="shared" si="4"/>
        <v>0</v>
      </c>
      <c r="X155" s="17"/>
    </row>
    <row r="156" spans="1:24" s="12" customFormat="1" ht="21.75" customHeight="1" x14ac:dyDescent="0.35">
      <c r="A156" s="19">
        <v>145</v>
      </c>
      <c r="B156" s="20" t="s">
        <v>138</v>
      </c>
      <c r="C156" s="19" t="s">
        <v>229</v>
      </c>
      <c r="D156" s="21">
        <v>50504</v>
      </c>
      <c r="E156" s="21">
        <v>0</v>
      </c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2">
        <f t="shared" si="4"/>
        <v>50504</v>
      </c>
      <c r="X156" s="13"/>
    </row>
    <row r="157" spans="1:24" s="12" customFormat="1" ht="19.5" customHeight="1" x14ac:dyDescent="0.35">
      <c r="A157" s="19">
        <v>146</v>
      </c>
      <c r="B157" s="20" t="s">
        <v>139</v>
      </c>
      <c r="C157" s="19" t="s">
        <v>230</v>
      </c>
      <c r="D157" s="28">
        <v>2596</v>
      </c>
      <c r="E157" s="21">
        <v>0</v>
      </c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2">
        <f t="shared" si="4"/>
        <v>2596</v>
      </c>
      <c r="X157" s="13"/>
    </row>
    <row r="158" spans="1:24" s="12" customFormat="1" ht="22.5" customHeight="1" x14ac:dyDescent="0.35">
      <c r="A158" s="19">
        <v>147</v>
      </c>
      <c r="B158" s="20" t="s">
        <v>140</v>
      </c>
      <c r="C158" s="19"/>
      <c r="D158" s="21">
        <v>0</v>
      </c>
      <c r="E158" s="21">
        <v>0</v>
      </c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2">
        <f t="shared" si="4"/>
        <v>0</v>
      </c>
      <c r="X158" s="13"/>
    </row>
    <row r="159" spans="1:24" s="12" customFormat="1" ht="22.5" customHeight="1" x14ac:dyDescent="0.35">
      <c r="A159" s="19">
        <v>148</v>
      </c>
      <c r="B159" s="20" t="s">
        <v>141</v>
      </c>
      <c r="C159" s="19" t="s">
        <v>181</v>
      </c>
      <c r="D159" s="21">
        <v>0</v>
      </c>
      <c r="E159" s="21">
        <v>0</v>
      </c>
      <c r="F159" s="21"/>
      <c r="G159" s="21"/>
      <c r="H159" s="21"/>
      <c r="I159" s="21">
        <v>11800</v>
      </c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2">
        <f t="shared" si="4"/>
        <v>11800</v>
      </c>
      <c r="X159" s="13"/>
    </row>
    <row r="160" spans="1:24" s="12" customFormat="1" ht="17.25" customHeight="1" x14ac:dyDescent="0.35">
      <c r="A160" s="19">
        <v>149</v>
      </c>
      <c r="B160" s="20" t="s">
        <v>142</v>
      </c>
      <c r="C160" s="19" t="s">
        <v>227</v>
      </c>
      <c r="D160" s="28">
        <v>738935.46</v>
      </c>
      <c r="E160" s="21">
        <v>0</v>
      </c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2">
        <f t="shared" si="4"/>
        <v>738935.46</v>
      </c>
      <c r="X160" s="13"/>
    </row>
    <row r="161" spans="1:24" s="12" customFormat="1" ht="21" customHeight="1" x14ac:dyDescent="0.35">
      <c r="A161" s="19"/>
      <c r="B161" s="20" t="s">
        <v>286</v>
      </c>
      <c r="C161" s="19" t="s">
        <v>287</v>
      </c>
      <c r="D161" s="28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2">
        <f>(D161+E161+F161+ G161+ H161+ I161+ J161+ K161+ L161+M161+N161+O161+P161+Q161+R161+S161+T161)</f>
        <v>0</v>
      </c>
      <c r="X161" s="13"/>
    </row>
    <row r="162" spans="1:24" s="12" customFormat="1" ht="21" customHeight="1" x14ac:dyDescent="0.35">
      <c r="A162" s="19">
        <v>150</v>
      </c>
      <c r="B162" s="20" t="s">
        <v>143</v>
      </c>
      <c r="C162" s="19" t="s">
        <v>231</v>
      </c>
      <c r="D162" s="21"/>
      <c r="E162" s="21">
        <v>0</v>
      </c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>
        <v>267860</v>
      </c>
      <c r="R162" s="21"/>
      <c r="S162" s="21"/>
      <c r="T162" s="21"/>
      <c r="U162" s="21">
        <v>267860</v>
      </c>
      <c r="V162" s="22">
        <f>(D162+E162+F162+ G162+ H162+ I162+ J162+ K162+ L162+M162+N162+O162+P162+Q162+R162+S162+T162+U162)</f>
        <v>535720</v>
      </c>
      <c r="X162" s="13"/>
    </row>
    <row r="163" spans="1:24" s="12" customFormat="1" ht="21" customHeight="1" x14ac:dyDescent="0.35">
      <c r="A163" s="19"/>
      <c r="B163" s="20" t="s">
        <v>144</v>
      </c>
      <c r="C163" s="19" t="s">
        <v>178</v>
      </c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2"/>
      <c r="X163" s="13"/>
    </row>
    <row r="164" spans="1:24" s="12" customFormat="1" ht="19.5" customHeight="1" x14ac:dyDescent="0.35">
      <c r="A164" s="19">
        <v>152</v>
      </c>
      <c r="B164" s="20" t="s">
        <v>145</v>
      </c>
      <c r="C164" s="19" t="s">
        <v>167</v>
      </c>
      <c r="D164" s="21"/>
      <c r="E164" s="21">
        <v>0</v>
      </c>
      <c r="F164" s="21"/>
      <c r="G164" s="21"/>
      <c r="H164" s="21"/>
      <c r="I164" s="21"/>
      <c r="J164" s="21"/>
      <c r="K164" s="21"/>
      <c r="L164" s="21"/>
      <c r="M164" s="21"/>
      <c r="N164" s="21"/>
      <c r="O164" s="21">
        <f>(46219.6+125130.36)</f>
        <v>171349.96</v>
      </c>
      <c r="P164" s="21">
        <f>(40626.3+144158.24+162444.7+85160.6)</f>
        <v>432389.83999999997</v>
      </c>
      <c r="Q164" s="21">
        <f>(139641.2+153603.2)</f>
        <v>293244.40000000002</v>
      </c>
      <c r="R164" s="21">
        <f>(162659.83+161584+159788.8)</f>
        <v>484032.62999999995</v>
      </c>
      <c r="S164" s="21">
        <v>53011.5</v>
      </c>
      <c r="T164" s="21"/>
      <c r="U164" s="21"/>
      <c r="V164" s="22">
        <f t="shared" si="4"/>
        <v>1434028.3299999998</v>
      </c>
      <c r="X164" s="13"/>
    </row>
    <row r="165" spans="1:24" s="12" customFormat="1" ht="21.75" customHeight="1" x14ac:dyDescent="0.35">
      <c r="A165" s="19">
        <v>153</v>
      </c>
      <c r="B165" s="20" t="s">
        <v>146</v>
      </c>
      <c r="C165" s="19" t="s">
        <v>232</v>
      </c>
      <c r="D165" s="21">
        <v>247094</v>
      </c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2">
        <f t="shared" si="4"/>
        <v>247094</v>
      </c>
      <c r="X165" s="13"/>
    </row>
    <row r="166" spans="1:24" s="12" customFormat="1" ht="21" customHeight="1" x14ac:dyDescent="0.35">
      <c r="A166" s="19">
        <v>154</v>
      </c>
      <c r="B166" s="20" t="s">
        <v>147</v>
      </c>
      <c r="C166" s="19" t="s">
        <v>186</v>
      </c>
      <c r="D166" s="21">
        <v>0</v>
      </c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>
        <f>(38270+131520)</f>
        <v>169790</v>
      </c>
      <c r="Q166" s="21"/>
      <c r="R166" s="21">
        <v>39000</v>
      </c>
      <c r="S166" s="21">
        <f>(32500+5200)</f>
        <v>37700</v>
      </c>
      <c r="T166" s="21"/>
      <c r="U166" s="21"/>
      <c r="V166" s="22">
        <f t="shared" si="4"/>
        <v>246490</v>
      </c>
      <c r="X166" s="13"/>
    </row>
    <row r="167" spans="1:24" s="12" customFormat="1" ht="24" customHeight="1" x14ac:dyDescent="0.35">
      <c r="A167" s="19">
        <v>155</v>
      </c>
      <c r="B167" s="20" t="s">
        <v>148</v>
      </c>
      <c r="C167" s="19" t="s">
        <v>181</v>
      </c>
      <c r="D167" s="21">
        <v>0</v>
      </c>
      <c r="E167" s="21">
        <v>0</v>
      </c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2">
        <f t="shared" si="4"/>
        <v>0</v>
      </c>
      <c r="X167" s="13"/>
    </row>
    <row r="168" spans="1:24" s="12" customFormat="1" ht="24.75" customHeight="1" x14ac:dyDescent="0.35">
      <c r="A168" s="19">
        <v>156</v>
      </c>
      <c r="B168" s="20" t="s">
        <v>149</v>
      </c>
      <c r="C168" s="19" t="s">
        <v>282</v>
      </c>
      <c r="D168" s="21">
        <v>0</v>
      </c>
      <c r="E168" s="21">
        <v>0</v>
      </c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2">
        <f t="shared" si="4"/>
        <v>0</v>
      </c>
      <c r="X168" s="13"/>
    </row>
    <row r="169" spans="1:24" s="12" customFormat="1" ht="21" customHeight="1" x14ac:dyDescent="0.35">
      <c r="A169" s="19">
        <v>157</v>
      </c>
      <c r="B169" s="20" t="s">
        <v>150</v>
      </c>
      <c r="C169" s="19"/>
      <c r="D169" s="21">
        <v>0</v>
      </c>
      <c r="E169" s="21">
        <v>0</v>
      </c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2">
        <f t="shared" si="4"/>
        <v>0</v>
      </c>
      <c r="X169" s="13"/>
    </row>
    <row r="170" spans="1:24" s="12" customFormat="1" ht="21.75" customHeight="1" x14ac:dyDescent="0.35">
      <c r="A170" s="19">
        <v>158</v>
      </c>
      <c r="B170" s="20" t="s">
        <v>151</v>
      </c>
      <c r="C170" s="19" t="s">
        <v>233</v>
      </c>
      <c r="D170" s="21">
        <v>0</v>
      </c>
      <c r="E170" s="21">
        <v>0</v>
      </c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2">
        <f t="shared" si="4"/>
        <v>0</v>
      </c>
      <c r="X170" s="13"/>
    </row>
    <row r="171" spans="1:24" s="12" customFormat="1" ht="23.25" customHeight="1" x14ac:dyDescent="0.35">
      <c r="A171" s="19">
        <v>159</v>
      </c>
      <c r="B171" s="20" t="s">
        <v>152</v>
      </c>
      <c r="C171" s="19" t="s">
        <v>234</v>
      </c>
      <c r="D171" s="21">
        <v>0</v>
      </c>
      <c r="E171" s="21">
        <v>0</v>
      </c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2">
        <f t="shared" si="4"/>
        <v>0</v>
      </c>
      <c r="X171" s="13"/>
    </row>
    <row r="172" spans="1:24" s="12" customFormat="1" ht="22.5" customHeight="1" x14ac:dyDescent="0.35">
      <c r="A172" s="19">
        <v>160</v>
      </c>
      <c r="B172" s="20" t="s">
        <v>153</v>
      </c>
      <c r="C172" s="19" t="s">
        <v>235</v>
      </c>
      <c r="D172" s="21">
        <v>0</v>
      </c>
      <c r="E172" s="21">
        <v>18585</v>
      </c>
      <c r="F172" s="21"/>
      <c r="G172" s="21"/>
      <c r="H172" s="21"/>
      <c r="I172" s="21"/>
      <c r="J172" s="21"/>
      <c r="K172" s="21"/>
      <c r="L172" s="21"/>
      <c r="M172" s="21"/>
      <c r="N172" s="21"/>
      <c r="O172" s="21">
        <v>55424</v>
      </c>
      <c r="P172" s="21"/>
      <c r="Q172" s="21"/>
      <c r="R172" s="21"/>
      <c r="S172" s="21"/>
      <c r="T172" s="21"/>
      <c r="U172" s="21"/>
      <c r="V172" s="22">
        <f t="shared" si="4"/>
        <v>74009</v>
      </c>
      <c r="X172" s="13"/>
    </row>
    <row r="173" spans="1:24" s="12" customFormat="1" ht="23.25" customHeight="1" x14ac:dyDescent="0.35">
      <c r="A173" s="19">
        <v>161</v>
      </c>
      <c r="B173" s="20" t="s">
        <v>154</v>
      </c>
      <c r="C173" s="19" t="s">
        <v>236</v>
      </c>
      <c r="D173" s="21">
        <v>0</v>
      </c>
      <c r="E173" s="21">
        <v>0</v>
      </c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2">
        <f t="shared" si="4"/>
        <v>0</v>
      </c>
      <c r="X173" s="13"/>
    </row>
    <row r="174" spans="1:24" s="12" customFormat="1" ht="22.5" customHeight="1" x14ac:dyDescent="0.35">
      <c r="A174" s="19">
        <v>162</v>
      </c>
      <c r="B174" s="20" t="s">
        <v>155</v>
      </c>
      <c r="C174" s="19" t="s">
        <v>237</v>
      </c>
      <c r="D174" s="21">
        <v>0</v>
      </c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2">
        <f t="shared" si="4"/>
        <v>0</v>
      </c>
      <c r="X174" s="13"/>
    </row>
    <row r="175" spans="1:24" s="12" customFormat="1" ht="30" customHeight="1" x14ac:dyDescent="0.35">
      <c r="A175" s="19">
        <v>163</v>
      </c>
      <c r="B175" s="20" t="s">
        <v>156</v>
      </c>
      <c r="C175" s="19" t="s">
        <v>238</v>
      </c>
      <c r="D175" s="21"/>
      <c r="E175" s="21">
        <v>0</v>
      </c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2">
        <f t="shared" si="4"/>
        <v>0</v>
      </c>
      <c r="X175" s="13"/>
    </row>
    <row r="176" spans="1:24" s="12" customFormat="1" ht="30.75" customHeight="1" x14ac:dyDescent="0.35">
      <c r="A176" s="19">
        <v>164</v>
      </c>
      <c r="B176" s="20" t="s">
        <v>257</v>
      </c>
      <c r="C176" s="19" t="s">
        <v>178</v>
      </c>
      <c r="D176" s="21">
        <v>0</v>
      </c>
      <c r="E176" s="21">
        <v>0</v>
      </c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>
        <v>19757.07</v>
      </c>
      <c r="U176" s="21"/>
      <c r="V176" s="22">
        <f>(D176+E176+F176+ G176+ H176+ I176+ J176+ K176+ L176+M176+N176+O176+P176+Q176+R176+S176+T176+U176)</f>
        <v>19757.07</v>
      </c>
      <c r="X176" s="13"/>
    </row>
    <row r="177" spans="1:26" s="12" customFormat="1" ht="29.25" customHeight="1" x14ac:dyDescent="0.35">
      <c r="A177" s="19">
        <v>165</v>
      </c>
      <c r="B177" s="20" t="s">
        <v>157</v>
      </c>
      <c r="C177" s="19" t="s">
        <v>239</v>
      </c>
      <c r="D177" s="21">
        <v>0</v>
      </c>
      <c r="E177" s="21">
        <v>0</v>
      </c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2">
        <f t="shared" si="4"/>
        <v>0</v>
      </c>
      <c r="X177" s="13"/>
    </row>
    <row r="178" spans="1:26" s="12" customFormat="1" ht="31.5" customHeight="1" x14ac:dyDescent="0.35">
      <c r="A178" s="19">
        <v>166</v>
      </c>
      <c r="B178" s="20" t="s">
        <v>158</v>
      </c>
      <c r="C178" s="19" t="s">
        <v>240</v>
      </c>
      <c r="D178" s="21">
        <v>0</v>
      </c>
      <c r="E178" s="21">
        <v>0</v>
      </c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2">
        <f t="shared" si="4"/>
        <v>0</v>
      </c>
      <c r="X178" s="13"/>
    </row>
    <row r="179" spans="1:26" s="12" customFormat="1" ht="21" customHeight="1" x14ac:dyDescent="0.35">
      <c r="A179" s="19">
        <v>167</v>
      </c>
      <c r="B179" s="20" t="s">
        <v>159</v>
      </c>
      <c r="C179" s="19" t="s">
        <v>241</v>
      </c>
      <c r="D179" s="21">
        <v>0</v>
      </c>
      <c r="E179" s="21">
        <v>0</v>
      </c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2">
        <f t="shared" si="4"/>
        <v>0</v>
      </c>
      <c r="X179" s="13"/>
    </row>
    <row r="180" spans="1:26" s="12" customFormat="1" ht="24" customHeight="1" x14ac:dyDescent="0.35">
      <c r="A180" s="19">
        <v>168</v>
      </c>
      <c r="B180" s="20" t="s">
        <v>160</v>
      </c>
      <c r="C180" s="19" t="s">
        <v>242</v>
      </c>
      <c r="D180" s="21">
        <v>0</v>
      </c>
      <c r="E180" s="21">
        <v>0</v>
      </c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>
        <f>(35990+11493.79)</f>
        <v>47483.79</v>
      </c>
      <c r="U180" s="21"/>
      <c r="V180" s="22">
        <f>(D180+E180+F180+ G180+ H180+ I180+ J180+ K180+ L180+M180+N180+O180+P180+Q180+R180+S180+T180)</f>
        <v>47483.79</v>
      </c>
      <c r="X180" s="13"/>
    </row>
    <row r="181" spans="1:26" s="12" customFormat="1" ht="23.25" customHeight="1" x14ac:dyDescent="0.35">
      <c r="A181" s="19">
        <v>169</v>
      </c>
      <c r="B181" s="20" t="s">
        <v>250</v>
      </c>
      <c r="C181" s="19" t="s">
        <v>274</v>
      </c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>
        <v>93720</v>
      </c>
      <c r="S181" s="21"/>
      <c r="T181" s="21"/>
      <c r="U181" s="21"/>
      <c r="V181" s="22">
        <f t="shared" si="4"/>
        <v>93720</v>
      </c>
      <c r="X181" s="13"/>
    </row>
    <row r="182" spans="1:26" s="12" customFormat="1" ht="30" customHeight="1" x14ac:dyDescent="0.35">
      <c r="A182" s="19">
        <v>170</v>
      </c>
      <c r="B182" s="20" t="s">
        <v>161</v>
      </c>
      <c r="C182" s="19" t="s">
        <v>243</v>
      </c>
      <c r="D182" s="21">
        <v>0</v>
      </c>
      <c r="E182" s="20"/>
      <c r="F182" s="21">
        <f>(202440+157730)</f>
        <v>360170</v>
      </c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2">
        <f t="shared" si="4"/>
        <v>360170</v>
      </c>
      <c r="X182" s="13"/>
    </row>
    <row r="183" spans="1:26" s="12" customFormat="1" ht="29.25" customHeight="1" x14ac:dyDescent="0.35">
      <c r="A183" s="19">
        <v>171</v>
      </c>
      <c r="B183" s="20" t="s">
        <v>162</v>
      </c>
      <c r="C183" s="19" t="s">
        <v>244</v>
      </c>
      <c r="D183" s="21">
        <v>0</v>
      </c>
      <c r="E183" s="21">
        <v>0</v>
      </c>
      <c r="F183" s="33"/>
      <c r="G183" s="21"/>
      <c r="H183" s="21"/>
      <c r="I183" s="21"/>
      <c r="J183" s="21"/>
      <c r="K183" s="21"/>
      <c r="L183" s="21"/>
      <c r="M183" s="21"/>
      <c r="N183" s="21"/>
      <c r="O183" s="21"/>
      <c r="P183" s="21">
        <f>(96570+126742+140920+147178+146000)</f>
        <v>657410</v>
      </c>
      <c r="Q183" s="21">
        <f>(146000+158960)</f>
        <v>304960</v>
      </c>
      <c r="R183" s="21">
        <f>(157730+202440)</f>
        <v>360170</v>
      </c>
      <c r="S183" s="21">
        <v>59400</v>
      </c>
      <c r="T183" s="21">
        <f>(114914+48852+199475+84904)</f>
        <v>448145</v>
      </c>
      <c r="U183" s="21">
        <f>(129000+60624)</f>
        <v>189624</v>
      </c>
      <c r="V183" s="22">
        <f>(D183+E183+F183+ G183+ H183+ I183+ J183+ K183+ L183+M183+N183+O183+P183+Q183+R183+S183+T183+U183)</f>
        <v>2019709</v>
      </c>
      <c r="X183" s="13"/>
    </row>
    <row r="184" spans="1:26" s="12" customFormat="1" ht="30.75" customHeight="1" x14ac:dyDescent="0.35">
      <c r="A184" s="19">
        <v>172</v>
      </c>
      <c r="B184" s="20" t="s">
        <v>246</v>
      </c>
      <c r="C184" s="19" t="s">
        <v>247</v>
      </c>
      <c r="D184" s="21">
        <v>0</v>
      </c>
      <c r="E184" s="34"/>
      <c r="F184" s="33"/>
      <c r="G184" s="33"/>
      <c r="H184" s="33"/>
      <c r="I184" s="33"/>
      <c r="J184" s="33"/>
      <c r="K184" s="33"/>
      <c r="L184" s="33"/>
      <c r="M184" s="33"/>
      <c r="N184" s="33"/>
      <c r="O184" s="33"/>
      <c r="P184" s="33">
        <v>321898.09999999998</v>
      </c>
      <c r="Q184" s="21"/>
      <c r="R184" s="21">
        <v>60298</v>
      </c>
      <c r="S184" s="21"/>
      <c r="T184" s="21">
        <v>105256</v>
      </c>
      <c r="U184" s="21"/>
      <c r="V184" s="22">
        <f>(D184+E184+F184+ G184+ H184+ I184+ J184+ K184+ L184+M184+N184+O184+P184+Q184+R184+S184+T184+U184)</f>
        <v>487452.1</v>
      </c>
      <c r="X184" s="13"/>
    </row>
    <row r="185" spans="1:26" s="12" customFormat="1" ht="33" customHeight="1" x14ac:dyDescent="0.35">
      <c r="A185" s="19">
        <v>173</v>
      </c>
      <c r="B185" s="20" t="s">
        <v>248</v>
      </c>
      <c r="C185" s="19" t="s">
        <v>249</v>
      </c>
      <c r="D185" s="21"/>
      <c r="E185" s="34"/>
      <c r="F185" s="33"/>
      <c r="G185" s="33"/>
      <c r="H185" s="33"/>
      <c r="I185" s="33"/>
      <c r="J185" s="33"/>
      <c r="K185" s="33"/>
      <c r="L185" s="33"/>
      <c r="M185" s="33"/>
      <c r="N185" s="33"/>
      <c r="O185" s="33"/>
      <c r="P185" s="33"/>
      <c r="Q185" s="21"/>
      <c r="R185" s="21"/>
      <c r="S185" s="21"/>
      <c r="T185" s="21">
        <f>(20800+20800)</f>
        <v>41600</v>
      </c>
      <c r="U185" s="21">
        <v>20800</v>
      </c>
      <c r="V185" s="22">
        <f>(D185+E185+F185+ G185+ H185+ I185+ J185+ K185+ L185+M185+N185+O185+P185+Q185+R185+S185+T185+U185)</f>
        <v>62400</v>
      </c>
      <c r="X185" s="13"/>
    </row>
    <row r="186" spans="1:26" s="12" customFormat="1" ht="33" customHeight="1" x14ac:dyDescent="0.35">
      <c r="A186" s="19">
        <v>174</v>
      </c>
      <c r="B186" s="53" t="s">
        <v>295</v>
      </c>
      <c r="C186" s="50" t="s">
        <v>296</v>
      </c>
      <c r="D186" s="19"/>
      <c r="E186" s="34"/>
      <c r="F186" s="33"/>
      <c r="G186" s="33"/>
      <c r="H186" s="33"/>
      <c r="I186" s="33"/>
      <c r="J186" s="33"/>
      <c r="K186" s="33"/>
      <c r="L186" s="33"/>
      <c r="M186" s="33"/>
      <c r="N186" s="33"/>
      <c r="O186" s="33"/>
      <c r="P186" s="33"/>
      <c r="Q186" s="21"/>
      <c r="R186" s="21"/>
      <c r="S186" s="21"/>
      <c r="T186" s="21"/>
      <c r="U186" s="21"/>
      <c r="V186" s="22"/>
      <c r="X186" s="13"/>
    </row>
    <row r="187" spans="1:26" s="12" customFormat="1" ht="30" customHeight="1" x14ac:dyDescent="0.35">
      <c r="A187" s="19">
        <v>175</v>
      </c>
      <c r="B187" s="20" t="s">
        <v>251</v>
      </c>
      <c r="C187" s="19" t="s">
        <v>178</v>
      </c>
      <c r="D187" s="21"/>
      <c r="E187" s="34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21">
        <v>18000</v>
      </c>
      <c r="R187" s="21"/>
      <c r="S187" s="21"/>
      <c r="T187" s="21">
        <v>97500</v>
      </c>
      <c r="U187" s="21"/>
      <c r="V187" s="22">
        <f>(D187+E187+F187+ G187+ H187+ I187+ J187+ K187+ L187+M187+N187+O187+P187+Q187+R187+S187+T187)</f>
        <v>115500</v>
      </c>
      <c r="X187" s="13"/>
      <c r="Z187" s="12">
        <v>0</v>
      </c>
    </row>
    <row r="188" spans="1:26" s="12" customFormat="1" ht="30.75" customHeight="1" x14ac:dyDescent="0.35">
      <c r="A188" s="19">
        <v>176</v>
      </c>
      <c r="B188" s="20" t="s">
        <v>252</v>
      </c>
      <c r="C188" s="19" t="s">
        <v>253</v>
      </c>
      <c r="D188" s="21"/>
      <c r="E188" s="34"/>
      <c r="F188" s="33"/>
      <c r="G188" s="33"/>
      <c r="H188" s="33"/>
      <c r="I188" s="33"/>
      <c r="J188" s="33"/>
      <c r="K188" s="33"/>
      <c r="L188" s="33"/>
      <c r="M188" s="33"/>
      <c r="N188" s="33"/>
      <c r="O188" s="33"/>
      <c r="P188" s="33"/>
      <c r="Q188" s="21"/>
      <c r="R188" s="21">
        <f>(23541+152072.44)</f>
        <v>175613.44</v>
      </c>
      <c r="S188" s="21"/>
      <c r="T188" s="21"/>
      <c r="U188" s="21"/>
      <c r="V188" s="22">
        <f t="shared" si="4"/>
        <v>175613.44</v>
      </c>
      <c r="X188" s="13"/>
    </row>
    <row r="189" spans="1:26" s="12" customFormat="1" ht="25.5" customHeight="1" x14ac:dyDescent="0.35">
      <c r="A189" s="19">
        <v>177</v>
      </c>
      <c r="B189" s="20" t="s">
        <v>254</v>
      </c>
      <c r="C189" s="19" t="s">
        <v>255</v>
      </c>
      <c r="D189" s="21"/>
      <c r="E189" s="34"/>
      <c r="F189" s="33"/>
      <c r="G189" s="33"/>
      <c r="H189" s="33"/>
      <c r="I189" s="33"/>
      <c r="J189" s="33"/>
      <c r="K189" s="33"/>
      <c r="L189" s="33"/>
      <c r="M189" s="33"/>
      <c r="N189" s="33"/>
      <c r="O189" s="33"/>
      <c r="P189" s="33"/>
      <c r="Q189" s="21"/>
      <c r="R189" s="21"/>
      <c r="S189" s="21"/>
      <c r="T189" s="21"/>
      <c r="U189" s="21"/>
      <c r="V189" s="22">
        <f t="shared" si="4"/>
        <v>0</v>
      </c>
      <c r="X189" s="13"/>
    </row>
    <row r="190" spans="1:26" s="12" customFormat="1" ht="25.5" customHeight="1" x14ac:dyDescent="0.35">
      <c r="A190" s="47"/>
      <c r="B190" s="49"/>
      <c r="C190" s="50"/>
      <c r="D190" s="19"/>
      <c r="E190" s="51"/>
      <c r="F190" s="52"/>
      <c r="G190" s="52"/>
      <c r="H190" s="52"/>
      <c r="I190" s="52"/>
      <c r="J190" s="52"/>
      <c r="K190" s="52"/>
      <c r="L190" s="48"/>
      <c r="M190" s="48"/>
      <c r="N190" s="48"/>
      <c r="O190" s="48"/>
      <c r="P190" s="48"/>
      <c r="Q190" s="21"/>
      <c r="R190" s="21"/>
      <c r="S190" s="21"/>
      <c r="T190" s="21"/>
      <c r="U190" s="21"/>
      <c r="V190" s="22">
        <f>( T190+U190)</f>
        <v>0</v>
      </c>
      <c r="X190" s="13"/>
    </row>
    <row r="191" spans="1:26" s="8" customFormat="1" ht="37.5" customHeight="1" x14ac:dyDescent="0.35">
      <c r="A191" s="57"/>
      <c r="B191" s="58"/>
      <c r="C191" s="58"/>
      <c r="D191" s="35">
        <f>SUM(D8:D189)</f>
        <v>21060783.500000004</v>
      </c>
      <c r="E191" s="36">
        <f>SUM(E8:E189)</f>
        <v>643041.14</v>
      </c>
      <c r="F191" s="37">
        <f>SUM(F8:F189)</f>
        <v>2316943.1</v>
      </c>
      <c r="G191" s="37">
        <f>SUM(G8:G182)</f>
        <v>27000</v>
      </c>
      <c r="H191" s="37">
        <f>SUM(H8:H168)</f>
        <v>127106.5</v>
      </c>
      <c r="I191" s="37">
        <f>SUM(I8:I165)</f>
        <v>66570.8</v>
      </c>
      <c r="J191" s="37">
        <f>SUM(J8:J172)</f>
        <v>95280</v>
      </c>
      <c r="K191" s="37">
        <f>SUM(K8:K168)</f>
        <v>90229.59</v>
      </c>
      <c r="L191" s="37">
        <f>SUM(L8:L169)</f>
        <v>83520.149999999994</v>
      </c>
      <c r="M191" s="37">
        <f>SUM(M8:M172)</f>
        <v>341465.3</v>
      </c>
      <c r="N191" s="37">
        <f>SUM(N8:N179)</f>
        <v>343787.3</v>
      </c>
      <c r="O191" s="37">
        <f t="shared" ref="O191:U191" si="5">SUM(O8:O189)</f>
        <v>723654.16999999993</v>
      </c>
      <c r="P191" s="37">
        <f t="shared" si="5"/>
        <v>2701139.06</v>
      </c>
      <c r="Q191" s="35">
        <f t="shared" si="5"/>
        <v>2956680.9299999997</v>
      </c>
      <c r="R191" s="35">
        <f t="shared" si="5"/>
        <v>3965668.4699999993</v>
      </c>
      <c r="S191" s="35">
        <f t="shared" si="5"/>
        <v>2032477.29</v>
      </c>
      <c r="T191" s="45">
        <f t="shared" si="5"/>
        <v>5887443.7599999998</v>
      </c>
      <c r="U191" s="45">
        <f t="shared" si="5"/>
        <v>1978798.38</v>
      </c>
      <c r="V191" s="38">
        <f>(D191+E191+F191+ G191+H191+I191+J191+K191+L191+M191+N191+O191+P191+Q191+R191+S191+T191+U191)</f>
        <v>45441589.440000005</v>
      </c>
    </row>
    <row r="192" spans="1:26" s="8" customFormat="1" ht="18.75" x14ac:dyDescent="0.3">
      <c r="D192" s="18"/>
      <c r="V192" s="18"/>
    </row>
    <row r="193" spans="1:22" ht="21" x14ac:dyDescent="0.35">
      <c r="A193" s="10"/>
      <c r="B193" s="9"/>
      <c r="C193" s="9"/>
      <c r="D193" s="9"/>
      <c r="E193" s="9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9"/>
      <c r="R193" s="9"/>
      <c r="S193" s="9"/>
      <c r="T193" s="9"/>
      <c r="U193" s="9"/>
      <c r="V193" s="9"/>
    </row>
    <row r="194" spans="1:22" ht="21" x14ac:dyDescent="0.35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</row>
    <row r="195" spans="1:22" ht="21" x14ac:dyDescent="0.35">
      <c r="A195" s="9"/>
      <c r="B195" s="9"/>
      <c r="C195" s="9"/>
      <c r="D195" s="9"/>
      <c r="E195" s="9"/>
      <c r="F195" s="61"/>
      <c r="G195" s="61"/>
      <c r="H195" s="61"/>
      <c r="I195" s="61"/>
      <c r="J195" s="61"/>
      <c r="K195" s="61"/>
      <c r="L195" s="61"/>
      <c r="M195" s="61"/>
      <c r="N195" s="61"/>
      <c r="O195" s="61"/>
      <c r="P195" s="62"/>
      <c r="Q195" s="9"/>
      <c r="R195" s="9"/>
      <c r="S195" s="9"/>
      <c r="T195" s="9"/>
      <c r="U195" s="9"/>
      <c r="V195" s="9"/>
    </row>
    <row r="196" spans="1:22" ht="21" x14ac:dyDescent="0.35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</row>
    <row r="197" spans="1:22" ht="15.75" x14ac:dyDescent="0.25">
      <c r="B197" s="5"/>
      <c r="C197" s="1"/>
    </row>
    <row r="198" spans="1:22" x14ac:dyDescent="0.25">
      <c r="A198" s="59"/>
      <c r="B198" s="59"/>
      <c r="C198" s="59"/>
      <c r="D198" s="59"/>
      <c r="E198" s="59"/>
      <c r="F198" s="59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</row>
    <row r="199" spans="1:22" x14ac:dyDescent="0.25">
      <c r="A199" s="59"/>
      <c r="B199" s="59"/>
      <c r="C199" s="59"/>
      <c r="D199" s="59"/>
      <c r="E199" s="59"/>
      <c r="F199" s="59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</row>
    <row r="200" spans="1:22" x14ac:dyDescent="0.25">
      <c r="A200" s="3"/>
      <c r="B200" s="4"/>
      <c r="C200" s="4"/>
      <c r="D200" s="60"/>
      <c r="E200" s="60"/>
      <c r="F200" s="60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</row>
    <row r="201" spans="1:22" x14ac:dyDescent="0.25">
      <c r="A201" s="3"/>
      <c r="B201" s="2"/>
      <c r="C201" s="2"/>
      <c r="D201" s="56"/>
      <c r="E201" s="56"/>
      <c r="F201" s="56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</sheetData>
  <mergeCells count="4">
    <mergeCell ref="D201:F201"/>
    <mergeCell ref="A191:C191"/>
    <mergeCell ref="A198:F199"/>
    <mergeCell ref="D200:F200"/>
  </mergeCells>
  <pageMargins left="0.23622047244094491" right="0.23622047244094491" top="0.74803149606299213" bottom="0.74803149606299213" header="0.31496062992125984" footer="0.31496062992125984"/>
  <pageSetup scale="21" fitToHeight="0" orientation="landscape" horizontalDpi="1200" verticalDpi="1200" r:id="rId1"/>
  <colBreaks count="1" manualBreakCount="1">
    <brk id="23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22" sqref="F22"/>
    </sheetView>
  </sheetViews>
  <sheetFormatPr baseColWidth="10" defaultColWidth="11.425781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DEUDA</vt:lpstr>
      <vt:lpstr>Hoja1</vt:lpstr>
      <vt:lpstr>Hoja2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Ruth Esther Patricio Agramonte</cp:lastModifiedBy>
  <cp:lastPrinted>2023-04-28T18:22:53Z</cp:lastPrinted>
  <dcterms:created xsi:type="dcterms:W3CDTF">2022-04-28T15:08:26Z</dcterms:created>
  <dcterms:modified xsi:type="dcterms:W3CDTF">2023-06-09T17:03:10Z</dcterms:modified>
</cp:coreProperties>
</file>